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2. 28 ธ.ค. 66\"/>
    </mc:Choice>
  </mc:AlternateContent>
  <xr:revisionPtr revIDLastSave="0" documentId="13_ncr:1_{D290FF80-C895-4C94-A4E2-4D8DCA66116D}" xr6:coauthVersionLast="37" xr6:coauthVersionMax="37" xr10:uidLastSave="{00000000-0000-0000-0000-000000000000}"/>
  <bookViews>
    <workbookView xWindow="0" yWindow="0" windowWidth="24000" windowHeight="9525" firstSheet="12" activeTab="21" xr2:uid="{00000000-000D-0000-FFFF-FFFF00000000}"/>
  </bookViews>
  <sheets>
    <sheet name="รวมกลาง" sheetId="1" r:id="rId1"/>
    <sheet name="กาญจนบุรี" sheetId="2" r:id="rId2"/>
    <sheet name="จันทบุรี" sheetId="3" r:id="rId3"/>
    <sheet name="ฉะเชิงเทรา" sheetId="4" r:id="rId4"/>
    <sheet name="ชลบุรี" sheetId="5" r:id="rId5"/>
    <sheet name="ชัยนาท" sheetId="6" r:id="rId6"/>
    <sheet name="ตราด" sheetId="7" r:id="rId7"/>
    <sheet name="นครนายก" sheetId="8" r:id="rId8"/>
    <sheet name="นครปฐม" sheetId="9" r:id="rId9"/>
    <sheet name="ปทุมธานี" sheetId="10" r:id="rId10"/>
    <sheet name="ประจวบคีรีขันธ์" sheetId="11" r:id="rId11"/>
    <sheet name="ปราจีนบุรี" sheetId="12" r:id="rId12"/>
    <sheet name="พระนครศรีอยุธยา" sheetId="13" r:id="rId13"/>
    <sheet name="เพชรบุรี" sheetId="14" r:id="rId14"/>
    <sheet name="ระยอง" sheetId="15" r:id="rId15"/>
    <sheet name="ราชบุรี" sheetId="16" r:id="rId16"/>
    <sheet name="ลพบุรี" sheetId="17" r:id="rId17"/>
    <sheet name="สระแก้ว" sheetId="18" r:id="rId18"/>
    <sheet name="สระบุรี" sheetId="19" r:id="rId19"/>
    <sheet name="สิงห์บุรี" sheetId="20" r:id="rId20"/>
    <sheet name="สุพรรณบุรี" sheetId="21" r:id="rId21"/>
    <sheet name="อ่างทอง" sheetId="22" r:id="rId22"/>
  </sheets>
  <definedNames>
    <definedName name="_xlnm.Print_Titles" localSheetId="1">กาญจนบุรี!$1:$6</definedName>
    <definedName name="_xlnm.Print_Titles" localSheetId="2">จันทบุรี!$1:$6</definedName>
    <definedName name="_xlnm.Print_Titles" localSheetId="3">ฉะเชิงเทรา!$1:$6</definedName>
    <definedName name="_xlnm.Print_Titles" localSheetId="4">ชลบุรี!$1:$6</definedName>
    <definedName name="_xlnm.Print_Titles" localSheetId="5">ชัยนาท!$1:$6</definedName>
    <definedName name="_xlnm.Print_Titles" localSheetId="6">ตราด!$1:$6</definedName>
    <definedName name="_xlnm.Print_Titles" localSheetId="7">นครนายก!$1:$6</definedName>
    <definedName name="_xlnm.Print_Titles" localSheetId="8">นครปฐม!$1:$6</definedName>
    <definedName name="_xlnm.Print_Titles" localSheetId="9">ปทุมธานี!$1:$6</definedName>
    <definedName name="_xlnm.Print_Titles" localSheetId="10">ประจวบคีรีขันธ์!$1:$6</definedName>
    <definedName name="_xlnm.Print_Titles" localSheetId="11">ปราจีนบุรี!$1:$6</definedName>
    <definedName name="_xlnm.Print_Titles" localSheetId="12">พระนครศรีอยุธยา!$1:$6</definedName>
    <definedName name="_xlnm.Print_Titles" localSheetId="13">เพชรบุรี!$1:$6</definedName>
    <definedName name="_xlnm.Print_Titles" localSheetId="0">รวมกลาง!$1:$6</definedName>
    <definedName name="_xlnm.Print_Titles" localSheetId="14">ระยอง!$1:$6</definedName>
    <definedName name="_xlnm.Print_Titles" localSheetId="15">ราชบุรี!$1:$6</definedName>
    <definedName name="_xlnm.Print_Titles" localSheetId="16">ลพบุรี!$1:$6</definedName>
    <definedName name="_xlnm.Print_Titles" localSheetId="17">สระแก้ว!$1:$6</definedName>
    <definedName name="_xlnm.Print_Titles" localSheetId="18">สระบุรี!$1:$6</definedName>
    <definedName name="_xlnm.Print_Titles" localSheetId="19">สิงห์บุรี!$1:$6</definedName>
    <definedName name="_xlnm.Print_Titles" localSheetId="20">สุพรรณบุรี!$1:$6</definedName>
    <definedName name="_xlnm.Print_Titles" localSheetId="21">อ่างทอง!$1:$6</definedName>
  </definedNames>
  <calcPr calcId="179021"/>
</workbook>
</file>

<file path=xl/calcChain.xml><?xml version="1.0" encoding="utf-8"?>
<calcChain xmlns="http://schemas.openxmlformats.org/spreadsheetml/2006/main">
  <c r="L22" i="22" l="1"/>
  <c r="O22" i="22" s="1"/>
  <c r="M22" i="22"/>
  <c r="N22" i="22"/>
  <c r="L25" i="22"/>
  <c r="O25" i="22" s="1"/>
  <c r="M25" i="22"/>
  <c r="P25" i="22" s="1"/>
  <c r="N25" i="22"/>
  <c r="L45" i="22"/>
  <c r="O45" i="22" s="1"/>
  <c r="M45" i="22"/>
  <c r="P45" i="22" s="1"/>
  <c r="N45" i="22"/>
  <c r="O48" i="22"/>
  <c r="P48" i="22"/>
  <c r="L49" i="22"/>
  <c r="M49" i="22"/>
  <c r="N49" i="22"/>
  <c r="N47" i="22" s="1"/>
  <c r="O51" i="22"/>
  <c r="P51" i="22"/>
  <c r="L52" i="22"/>
  <c r="O52" i="22" s="1"/>
  <c r="M52" i="22"/>
  <c r="N52" i="22"/>
  <c r="L60" i="22"/>
  <c r="O60" i="22" s="1"/>
  <c r="M60" i="22"/>
  <c r="N60" i="22"/>
  <c r="O63" i="22"/>
  <c r="P63" i="22"/>
  <c r="L64" i="22"/>
  <c r="M64" i="22"/>
  <c r="M62" i="22" s="1"/>
  <c r="N64" i="22"/>
  <c r="N62" i="22" s="1"/>
  <c r="O66" i="22"/>
  <c r="P66" i="22"/>
  <c r="L67" i="22"/>
  <c r="O67" i="22" s="1"/>
  <c r="M67" i="22"/>
  <c r="M65" i="22" s="1"/>
  <c r="P65" i="22" s="1"/>
  <c r="N67" i="22"/>
  <c r="N65" i="22" s="1"/>
  <c r="L73" i="22"/>
  <c r="O73" i="22" s="1"/>
  <c r="M73" i="22"/>
  <c r="N73" i="22"/>
  <c r="P73" i="22"/>
  <c r="O76" i="22"/>
  <c r="P76" i="22"/>
  <c r="L77" i="22"/>
  <c r="L75" i="22" s="1"/>
  <c r="O75" i="22" s="1"/>
  <c r="M77" i="22"/>
  <c r="N77" i="22"/>
  <c r="O79" i="22"/>
  <c r="P79" i="22"/>
  <c r="L80" i="22"/>
  <c r="O80" i="22" s="1"/>
  <c r="M80" i="22"/>
  <c r="N80" i="22"/>
  <c r="N78" i="22" s="1"/>
  <c r="J82" i="22"/>
  <c r="J70" i="22" s="1"/>
  <c r="J83" i="22"/>
  <c r="J71" i="22" s="1"/>
  <c r="I84" i="22"/>
  <c r="K84" i="22" s="1"/>
  <c r="I85" i="22"/>
  <c r="K85" i="22" s="1"/>
  <c r="I86" i="22"/>
  <c r="K86" i="22" s="1"/>
  <c r="I87" i="22"/>
  <c r="K87" i="22" s="1"/>
  <c r="I88" i="22"/>
  <c r="K88" i="22" s="1"/>
  <c r="I89" i="22"/>
  <c r="K89" i="22" s="1"/>
  <c r="I90" i="22"/>
  <c r="K90" i="22" s="1"/>
  <c r="J92" i="22"/>
  <c r="J93" i="22"/>
  <c r="L95" i="22"/>
  <c r="M95" i="22"/>
  <c r="P95" i="22" s="1"/>
  <c r="N95" i="22"/>
  <c r="O95" i="22"/>
  <c r="O98" i="22"/>
  <c r="P98" i="22"/>
  <c r="L99" i="22"/>
  <c r="L97" i="22" s="1"/>
  <c r="O97" i="22" s="1"/>
  <c r="M99" i="22"/>
  <c r="N99" i="22"/>
  <c r="N97" i="22" s="1"/>
  <c r="O101" i="22"/>
  <c r="P101" i="22"/>
  <c r="L102" i="22"/>
  <c r="L100" i="22" s="1"/>
  <c r="O100" i="22" s="1"/>
  <c r="M102" i="22"/>
  <c r="M100" i="22" s="1"/>
  <c r="P100" i="22" s="1"/>
  <c r="N102" i="22"/>
  <c r="N100" i="22" s="1"/>
  <c r="I108" i="22"/>
  <c r="I92" i="22" s="1"/>
  <c r="K92" i="22" s="1"/>
  <c r="I109" i="22"/>
  <c r="I93" i="22" s="1"/>
  <c r="K93" i="22" s="1"/>
  <c r="I117" i="22"/>
  <c r="K117" i="22" s="1"/>
  <c r="L126" i="22"/>
  <c r="M126" i="22"/>
  <c r="P126" i="22" s="1"/>
  <c r="N126" i="22"/>
  <c r="O129" i="22"/>
  <c r="P129" i="22"/>
  <c r="L130" i="22"/>
  <c r="M130" i="22"/>
  <c r="P130" i="22" s="1"/>
  <c r="N130" i="22"/>
  <c r="N128" i="22" s="1"/>
  <c r="O132" i="22"/>
  <c r="P132" i="22"/>
  <c r="L133" i="22"/>
  <c r="L131" i="22" s="1"/>
  <c r="O131" i="22" s="1"/>
  <c r="M133" i="22"/>
  <c r="P133" i="22" s="1"/>
  <c r="N133" i="22"/>
  <c r="N131" i="22" s="1"/>
  <c r="J136" i="22"/>
  <c r="J137" i="22"/>
  <c r="J138" i="22"/>
  <c r="L140" i="22"/>
  <c r="M140" i="22"/>
  <c r="N140" i="22"/>
  <c r="P140" i="22"/>
  <c r="O143" i="22"/>
  <c r="P143" i="22"/>
  <c r="L144" i="22"/>
  <c r="L142" i="22" s="1"/>
  <c r="O142" i="22" s="1"/>
  <c r="M144" i="22"/>
  <c r="P144" i="22" s="1"/>
  <c r="N144" i="22"/>
  <c r="O146" i="22"/>
  <c r="P146" i="22"/>
  <c r="L147" i="22"/>
  <c r="L145" i="22" s="1"/>
  <c r="O145" i="22" s="1"/>
  <c r="M147" i="22"/>
  <c r="P147" i="22" s="1"/>
  <c r="N147" i="22"/>
  <c r="N145" i="22" s="1"/>
  <c r="I150" i="22"/>
  <c r="K150" i="22" s="1"/>
  <c r="I151" i="22"/>
  <c r="K151" i="22" s="1"/>
  <c r="I152" i="22"/>
  <c r="I153" i="22"/>
  <c r="K153" i="22" s="1"/>
  <c r="I154" i="22"/>
  <c r="K154" i="22" s="1"/>
  <c r="J156" i="22"/>
  <c r="L158" i="22"/>
  <c r="O158" i="22" s="1"/>
  <c r="M158" i="22"/>
  <c r="N158" i="22"/>
  <c r="P158" i="22"/>
  <c r="O161" i="22"/>
  <c r="P161" i="22"/>
  <c r="L162" i="22"/>
  <c r="M162" i="22"/>
  <c r="N162" i="22"/>
  <c r="O164" i="22"/>
  <c r="P164" i="22"/>
  <c r="L165" i="22"/>
  <c r="L163" i="22" s="1"/>
  <c r="O163" i="22" s="1"/>
  <c r="M165" i="22"/>
  <c r="N165" i="22"/>
  <c r="N163" i="22" s="1"/>
  <c r="I167" i="22"/>
  <c r="K167" i="22" s="1"/>
  <c r="I168" i="22"/>
  <c r="K168" i="22" s="1"/>
  <c r="I169" i="22"/>
  <c r="K169" i="22" s="1"/>
  <c r="J172" i="22"/>
  <c r="L174" i="22"/>
  <c r="O174" i="22" s="1"/>
  <c r="M174" i="22"/>
  <c r="P174" i="22" s="1"/>
  <c r="N174" i="22"/>
  <c r="O177" i="22"/>
  <c r="P177" i="22"/>
  <c r="L178" i="22"/>
  <c r="M178" i="22"/>
  <c r="N178" i="22"/>
  <c r="N176" i="22" s="1"/>
  <c r="O180" i="22"/>
  <c r="P180" i="22"/>
  <c r="L181" i="22"/>
  <c r="L179" i="22" s="1"/>
  <c r="O179" i="22" s="1"/>
  <c r="M181" i="22"/>
  <c r="N181" i="22"/>
  <c r="I183" i="22"/>
  <c r="K183" i="22" s="1"/>
  <c r="K184" i="22"/>
  <c r="L187" i="22"/>
  <c r="M187" i="22"/>
  <c r="N187" i="22"/>
  <c r="O187" i="22"/>
  <c r="P187" i="22"/>
  <c r="O190" i="22"/>
  <c r="P190" i="22"/>
  <c r="L191" i="22"/>
  <c r="L189" i="22" s="1"/>
  <c r="M191" i="22"/>
  <c r="N191" i="22"/>
  <c r="N189" i="22" s="1"/>
  <c r="O193" i="22"/>
  <c r="P193" i="22"/>
  <c r="L194" i="22"/>
  <c r="O194" i="22" s="1"/>
  <c r="M194" i="22"/>
  <c r="M192" i="22" s="1"/>
  <c r="P192" i="22" s="1"/>
  <c r="N194" i="22"/>
  <c r="N192" i="22" s="1"/>
  <c r="J195" i="22"/>
  <c r="L196" i="22"/>
  <c r="O196" i="22" s="1"/>
  <c r="P196" i="22"/>
  <c r="I198" i="22"/>
  <c r="K198" i="22" s="1"/>
  <c r="J199" i="22"/>
  <c r="J202" i="22"/>
  <c r="N203" i="22"/>
  <c r="P203" i="22"/>
  <c r="L204" i="22"/>
  <c r="L205" i="22"/>
  <c r="L206" i="22"/>
  <c r="I209" i="22"/>
  <c r="K209" i="22" s="1"/>
  <c r="I211" i="22"/>
  <c r="K211" i="22" s="1"/>
  <c r="I212" i="22"/>
  <c r="K212" i="22" s="1"/>
  <c r="J213" i="22"/>
  <c r="N214" i="22"/>
  <c r="P214" i="22"/>
  <c r="L215" i="22"/>
  <c r="L216" i="22"/>
  <c r="L217" i="22"/>
  <c r="I219" i="22"/>
  <c r="K219" i="22" s="1"/>
  <c r="I220" i="22"/>
  <c r="K220" i="22" s="1"/>
  <c r="J221" i="22"/>
  <c r="N222" i="22"/>
  <c r="P222" i="22"/>
  <c r="L223" i="22"/>
  <c r="L224" i="22"/>
  <c r="L225" i="22"/>
  <c r="I228" i="22"/>
  <c r="K228" i="22" s="1"/>
  <c r="I229" i="22"/>
  <c r="I221" i="22" s="1"/>
  <c r="I230" i="22"/>
  <c r="K230" i="22" s="1"/>
  <c r="N233" i="22"/>
  <c r="N234" i="22"/>
  <c r="N235" i="22"/>
  <c r="N236" i="22"/>
  <c r="J238" i="22"/>
  <c r="I240" i="22"/>
  <c r="K240" i="22" s="1"/>
  <c r="J240" i="22"/>
  <c r="I241" i="22"/>
  <c r="K241" i="22" s="1"/>
  <c r="J241" i="22"/>
  <c r="J242" i="22"/>
  <c r="N243" i="22"/>
  <c r="N232" i="22" s="1"/>
  <c r="P243" i="22"/>
  <c r="L244" i="22"/>
  <c r="L245" i="22"/>
  <c r="L246" i="22"/>
  <c r="L247" i="22"/>
  <c r="I249" i="22"/>
  <c r="K249" i="22" s="1"/>
  <c r="K251" i="22"/>
  <c r="K252" i="22"/>
  <c r="J253" i="22"/>
  <c r="N254" i="22"/>
  <c r="P254" i="22"/>
  <c r="L255" i="22"/>
  <c r="L256" i="22"/>
  <c r="L257" i="22"/>
  <c r="L258" i="22"/>
  <c r="I260" i="22"/>
  <c r="K262" i="22"/>
  <c r="K263" i="22"/>
  <c r="I265" i="22"/>
  <c r="K265" i="22" s="1"/>
  <c r="J265" i="22"/>
  <c r="L267" i="22"/>
  <c r="M267" i="22"/>
  <c r="N267" i="22"/>
  <c r="O267" i="22"/>
  <c r="P267" i="22"/>
  <c r="O270" i="22"/>
  <c r="P270" i="22"/>
  <c r="L271" i="22"/>
  <c r="M271" i="22"/>
  <c r="N271" i="22"/>
  <c r="N269" i="22" s="1"/>
  <c r="O273" i="22"/>
  <c r="P273" i="22"/>
  <c r="L274" i="22"/>
  <c r="L272" i="22" s="1"/>
  <c r="O272" i="22" s="1"/>
  <c r="M274" i="22"/>
  <c r="P274" i="22" s="1"/>
  <c r="N274" i="22"/>
  <c r="N272" i="22" s="1"/>
  <c r="J281" i="22"/>
  <c r="L283" i="22"/>
  <c r="M283" i="22"/>
  <c r="P283" i="22" s="1"/>
  <c r="N283" i="22"/>
  <c r="O286" i="22"/>
  <c r="P286" i="22"/>
  <c r="L287" i="22"/>
  <c r="L285" i="22" s="1"/>
  <c r="O285" i="22" s="1"/>
  <c r="M287" i="22"/>
  <c r="P287" i="22" s="1"/>
  <c r="N287" i="22"/>
  <c r="N285" i="22" s="1"/>
  <c r="O289" i="22"/>
  <c r="P289" i="22"/>
  <c r="L290" i="22"/>
  <c r="L288" i="22" s="1"/>
  <c r="O288" i="22" s="1"/>
  <c r="M290" i="22"/>
  <c r="M288" i="22" s="1"/>
  <c r="P288" i="22" s="1"/>
  <c r="N290" i="22"/>
  <c r="N288" i="22" s="1"/>
  <c r="I292" i="22"/>
  <c r="I281" i="22" s="1"/>
  <c r="K281" i="22" s="1"/>
  <c r="I293" i="22"/>
  <c r="I280" i="22" s="1"/>
  <c r="K280" i="22" s="1"/>
  <c r="J293" i="22"/>
  <c r="J280" i="22" s="1"/>
  <c r="I295" i="22"/>
  <c r="K295" i="22" s="1"/>
  <c r="I296" i="22"/>
  <c r="K296" i="22" s="1"/>
  <c r="J302" i="22"/>
  <c r="L304" i="22"/>
  <c r="O304" i="22" s="1"/>
  <c r="M304" i="22"/>
  <c r="P304" i="22" s="1"/>
  <c r="N304" i="22"/>
  <c r="O307" i="22"/>
  <c r="P307" i="22"/>
  <c r="L308" i="22"/>
  <c r="L306" i="22" s="1"/>
  <c r="O306" i="22" s="1"/>
  <c r="M308" i="22"/>
  <c r="M306" i="22" s="1"/>
  <c r="P306" i="22" s="1"/>
  <c r="N308" i="22"/>
  <c r="N306" i="22" s="1"/>
  <c r="O310" i="22"/>
  <c r="P310" i="22"/>
  <c r="L311" i="22"/>
  <c r="M311" i="22"/>
  <c r="M309" i="22" s="1"/>
  <c r="P309" i="22" s="1"/>
  <c r="N311" i="22"/>
  <c r="N309" i="22" s="1"/>
  <c r="I314" i="22"/>
  <c r="I302" i="22" s="1"/>
  <c r="K302" i="22" s="1"/>
  <c r="I315" i="22"/>
  <c r="K315" i="22" s="1"/>
  <c r="I316" i="22"/>
  <c r="K316" i="22" s="1"/>
  <c r="I317" i="22"/>
  <c r="K317" i="22" s="1"/>
  <c r="J319" i="22"/>
  <c r="L321" i="22"/>
  <c r="O321" i="22" s="1"/>
  <c r="M321" i="22"/>
  <c r="N321" i="22"/>
  <c r="P321" i="22"/>
  <c r="O324" i="22"/>
  <c r="P324" i="22"/>
  <c r="L325" i="22"/>
  <c r="O325" i="22" s="1"/>
  <c r="M325" i="22"/>
  <c r="M323" i="22" s="1"/>
  <c r="P323" i="22" s="1"/>
  <c r="N325" i="22"/>
  <c r="O327" i="22"/>
  <c r="P327" i="22"/>
  <c r="L328" i="22"/>
  <c r="L326" i="22" s="1"/>
  <c r="O326" i="22" s="1"/>
  <c r="M328" i="22"/>
  <c r="P328" i="22" s="1"/>
  <c r="N328" i="22"/>
  <c r="N326" i="22" s="1"/>
  <c r="I330" i="22"/>
  <c r="K330" i="22" s="1"/>
  <c r="L334" i="22"/>
  <c r="O334" i="22" s="1"/>
  <c r="M334" i="22"/>
  <c r="N334" i="22"/>
  <c r="O337" i="22"/>
  <c r="P337" i="22"/>
  <c r="L338" i="22"/>
  <c r="M338" i="22"/>
  <c r="M336" i="22" s="1"/>
  <c r="N338" i="22"/>
  <c r="N336" i="22" s="1"/>
  <c r="O340" i="22"/>
  <c r="P340" i="22"/>
  <c r="L341" i="22"/>
  <c r="O341" i="22" s="1"/>
  <c r="M341" i="22"/>
  <c r="P341" i="22" s="1"/>
  <c r="N341" i="22"/>
  <c r="N339" i="22" s="1"/>
  <c r="I344" i="22"/>
  <c r="J344" i="22"/>
  <c r="I346" i="22"/>
  <c r="J346" i="22"/>
  <c r="J347" i="22"/>
  <c r="J348" i="22"/>
  <c r="J349" i="22"/>
  <c r="D350" i="22"/>
  <c r="J352" i="22"/>
  <c r="J353" i="22"/>
  <c r="D354" i="22"/>
  <c r="L357" i="22"/>
  <c r="O357" i="22" s="1"/>
  <c r="M357" i="22"/>
  <c r="N357" i="22"/>
  <c r="P357" i="22"/>
  <c r="O360" i="22"/>
  <c r="P360" i="22"/>
  <c r="L361" i="22"/>
  <c r="M361" i="22"/>
  <c r="N361" i="22"/>
  <c r="N359" i="22" s="1"/>
  <c r="O363" i="22"/>
  <c r="P363" i="22"/>
  <c r="L364" i="22"/>
  <c r="O364" i="22" s="1"/>
  <c r="M364" i="22"/>
  <c r="P364" i="22" s="1"/>
  <c r="N364" i="22"/>
  <c r="N362" i="22" s="1"/>
  <c r="J367" i="22"/>
  <c r="K367" i="22"/>
  <c r="I368" i="22"/>
  <c r="K368" i="22" s="1"/>
  <c r="J368" i="22"/>
  <c r="I369" i="22"/>
  <c r="K369" i="22" s="1"/>
  <c r="J369" i="22"/>
  <c r="J370" i="22"/>
  <c r="K370" i="22"/>
  <c r="I371" i="22"/>
  <c r="K371" i="22" s="1"/>
  <c r="J371" i="22"/>
  <c r="J365" i="22" s="1"/>
  <c r="J372" i="22"/>
  <c r="K372" i="22"/>
  <c r="D373" i="22"/>
  <c r="I376" i="22"/>
  <c r="K376" i="22" s="1"/>
  <c r="J376" i="22"/>
  <c r="L378" i="22"/>
  <c r="O378" i="22" s="1"/>
  <c r="M378" i="22"/>
  <c r="N378" i="22"/>
  <c r="P378" i="22"/>
  <c r="O381" i="22"/>
  <c r="P381" i="22"/>
  <c r="L382" i="22"/>
  <c r="M382" i="22"/>
  <c r="M380" i="22" s="1"/>
  <c r="P380" i="22" s="1"/>
  <c r="N382" i="22"/>
  <c r="N380" i="22" s="1"/>
  <c r="O384" i="22"/>
  <c r="P384" i="22"/>
  <c r="L385" i="22"/>
  <c r="O385" i="22" s="1"/>
  <c r="M385" i="22"/>
  <c r="M383" i="22" s="1"/>
  <c r="P383" i="22" s="1"/>
  <c r="N385" i="22"/>
  <c r="N383" i="22" s="1"/>
  <c r="K387" i="22"/>
  <c r="K388" i="22"/>
  <c r="A391" i="22"/>
  <c r="L22" i="21"/>
  <c r="L19" i="21" s="1"/>
  <c r="M22" i="21"/>
  <c r="N22" i="21"/>
  <c r="P22" i="21"/>
  <c r="L25" i="21"/>
  <c r="M25" i="21"/>
  <c r="M19" i="21" s="1"/>
  <c r="N25" i="21"/>
  <c r="L45" i="21"/>
  <c r="M45" i="21"/>
  <c r="P45" i="21" s="1"/>
  <c r="N45" i="21"/>
  <c r="O45" i="21"/>
  <c r="O48" i="21"/>
  <c r="P48" i="21"/>
  <c r="L49" i="21"/>
  <c r="L47" i="21" s="1"/>
  <c r="M49" i="21"/>
  <c r="M47" i="21" s="1"/>
  <c r="N49" i="21"/>
  <c r="N47" i="21" s="1"/>
  <c r="O51" i="21"/>
  <c r="P51" i="21"/>
  <c r="L52" i="21"/>
  <c r="O52" i="21" s="1"/>
  <c r="M52" i="21"/>
  <c r="M50" i="21" s="1"/>
  <c r="P50" i="21" s="1"/>
  <c r="N52" i="21"/>
  <c r="N50" i="21" s="1"/>
  <c r="L60" i="21"/>
  <c r="O60" i="21" s="1"/>
  <c r="M60" i="21"/>
  <c r="N60" i="21"/>
  <c r="O63" i="21"/>
  <c r="P63" i="21"/>
  <c r="L64" i="21"/>
  <c r="L62" i="21" s="1"/>
  <c r="M64" i="21"/>
  <c r="M62" i="21" s="1"/>
  <c r="N64" i="21"/>
  <c r="O66" i="21"/>
  <c r="P66" i="21"/>
  <c r="L67" i="21"/>
  <c r="O67" i="21" s="1"/>
  <c r="M67" i="21"/>
  <c r="M65" i="21" s="1"/>
  <c r="P65" i="21" s="1"/>
  <c r="N67" i="21"/>
  <c r="N65" i="21" s="1"/>
  <c r="L73" i="21"/>
  <c r="M73" i="21"/>
  <c r="P73" i="21" s="1"/>
  <c r="N73" i="21"/>
  <c r="O76" i="21"/>
  <c r="P76" i="21"/>
  <c r="L77" i="21"/>
  <c r="L75" i="21" s="1"/>
  <c r="O75" i="21" s="1"/>
  <c r="M77" i="21"/>
  <c r="M75" i="21" s="1"/>
  <c r="P75" i="21" s="1"/>
  <c r="N77" i="21"/>
  <c r="N75" i="21" s="1"/>
  <c r="O79" i="21"/>
  <c r="P79" i="21"/>
  <c r="L80" i="21"/>
  <c r="O80" i="21" s="1"/>
  <c r="M80" i="21"/>
  <c r="M78" i="21" s="1"/>
  <c r="P78" i="21" s="1"/>
  <c r="N80" i="21"/>
  <c r="N78" i="21" s="1"/>
  <c r="J82" i="21"/>
  <c r="J70" i="21" s="1"/>
  <c r="J83" i="21"/>
  <c r="J71" i="21" s="1"/>
  <c r="I84" i="21"/>
  <c r="K84" i="21" s="1"/>
  <c r="I85" i="21"/>
  <c r="I86" i="21"/>
  <c r="K86" i="21" s="1"/>
  <c r="I87" i="21"/>
  <c r="K87" i="21" s="1"/>
  <c r="I88" i="21"/>
  <c r="K88" i="21" s="1"/>
  <c r="I89" i="21"/>
  <c r="K89" i="21" s="1"/>
  <c r="I90" i="21"/>
  <c r="K90" i="21" s="1"/>
  <c r="J92" i="21"/>
  <c r="J93" i="21"/>
  <c r="L95" i="21"/>
  <c r="O95" i="21" s="1"/>
  <c r="M95" i="21"/>
  <c r="N95" i="21"/>
  <c r="P95" i="21"/>
  <c r="O98" i="21"/>
  <c r="P98" i="21"/>
  <c r="L99" i="21"/>
  <c r="M99" i="21"/>
  <c r="M97" i="21" s="1"/>
  <c r="P97" i="21" s="1"/>
  <c r="N99" i="21"/>
  <c r="N97" i="21" s="1"/>
  <c r="O101" i="21"/>
  <c r="P101" i="21"/>
  <c r="L102" i="21"/>
  <c r="O102" i="21" s="1"/>
  <c r="M102" i="21"/>
  <c r="P102" i="21" s="1"/>
  <c r="N102" i="21"/>
  <c r="N100" i="21" s="1"/>
  <c r="I108" i="21"/>
  <c r="I92" i="21" s="1"/>
  <c r="K92" i="21" s="1"/>
  <c r="I109" i="21"/>
  <c r="I93" i="21" s="1"/>
  <c r="K93" i="21" s="1"/>
  <c r="I117" i="21"/>
  <c r="K117" i="21" s="1"/>
  <c r="L126" i="21"/>
  <c r="M126" i="21"/>
  <c r="N126" i="21"/>
  <c r="O126" i="21"/>
  <c r="O129" i="21"/>
  <c r="P129" i="21"/>
  <c r="L130" i="21"/>
  <c r="O130" i="21" s="1"/>
  <c r="M130" i="21"/>
  <c r="N130" i="21"/>
  <c r="N128" i="21" s="1"/>
  <c r="O132" i="21"/>
  <c r="P132" i="21"/>
  <c r="L133" i="21"/>
  <c r="O133" i="21" s="1"/>
  <c r="M133" i="21"/>
  <c r="M131" i="21" s="1"/>
  <c r="P131" i="21" s="1"/>
  <c r="N133" i="21"/>
  <c r="N131" i="21" s="1"/>
  <c r="J136" i="21"/>
  <c r="J137" i="21"/>
  <c r="J138" i="21"/>
  <c r="L140" i="21"/>
  <c r="O140" i="21" s="1"/>
  <c r="M140" i="21"/>
  <c r="N140" i="21"/>
  <c r="O143" i="21"/>
  <c r="P143" i="21"/>
  <c r="L144" i="21"/>
  <c r="M144" i="21"/>
  <c r="P144" i="21" s="1"/>
  <c r="N144" i="21"/>
  <c r="N142" i="21" s="1"/>
  <c r="O146" i="21"/>
  <c r="P146" i="21"/>
  <c r="L147" i="21"/>
  <c r="L145" i="21" s="1"/>
  <c r="O145" i="21" s="1"/>
  <c r="M147" i="21"/>
  <c r="M145" i="21" s="1"/>
  <c r="P145" i="21" s="1"/>
  <c r="N147" i="21"/>
  <c r="N145" i="21" s="1"/>
  <c r="I150" i="21"/>
  <c r="K150" i="21" s="1"/>
  <c r="I151" i="21"/>
  <c r="K151" i="21" s="1"/>
  <c r="I152" i="21"/>
  <c r="K152" i="21" s="1"/>
  <c r="I153" i="21"/>
  <c r="K153" i="21" s="1"/>
  <c r="I154" i="21"/>
  <c r="I136" i="21" s="1"/>
  <c r="K136" i="21" s="1"/>
  <c r="J156" i="21"/>
  <c r="L158" i="21"/>
  <c r="M158" i="21"/>
  <c r="P158" i="21" s="1"/>
  <c r="N158" i="21"/>
  <c r="O158" i="21"/>
  <c r="O161" i="21"/>
  <c r="P161" i="21"/>
  <c r="L162" i="21"/>
  <c r="M162" i="21"/>
  <c r="M160" i="21" s="1"/>
  <c r="P160" i="21" s="1"/>
  <c r="N162" i="21"/>
  <c r="N160" i="21" s="1"/>
  <c r="O164" i="21"/>
  <c r="P164" i="21"/>
  <c r="L165" i="21"/>
  <c r="O165" i="21" s="1"/>
  <c r="M165" i="21"/>
  <c r="M163" i="21" s="1"/>
  <c r="P163" i="21" s="1"/>
  <c r="N165" i="21"/>
  <c r="N163" i="21" s="1"/>
  <c r="I167" i="21"/>
  <c r="I156" i="21" s="1"/>
  <c r="K156" i="21" s="1"/>
  <c r="J172" i="21"/>
  <c r="L174" i="21"/>
  <c r="M174" i="21"/>
  <c r="P174" i="21" s="1"/>
  <c r="N174" i="21"/>
  <c r="O174" i="21"/>
  <c r="O177" i="21"/>
  <c r="P177" i="21"/>
  <c r="L178" i="21"/>
  <c r="M178" i="21"/>
  <c r="M176" i="21" s="1"/>
  <c r="N178" i="21"/>
  <c r="N176" i="21" s="1"/>
  <c r="O180" i="21"/>
  <c r="P180" i="21"/>
  <c r="L181" i="21"/>
  <c r="O181" i="21" s="1"/>
  <c r="M181" i="21"/>
  <c r="M179" i="21" s="1"/>
  <c r="P179" i="21" s="1"/>
  <c r="N181" i="21"/>
  <c r="N179" i="21" s="1"/>
  <c r="I183" i="21"/>
  <c r="K183" i="21" s="1"/>
  <c r="K184" i="21"/>
  <c r="L187" i="21"/>
  <c r="O187" i="21" s="1"/>
  <c r="M187" i="21"/>
  <c r="N187" i="21"/>
  <c r="O190" i="21"/>
  <c r="P190" i="21"/>
  <c r="L191" i="21"/>
  <c r="L189" i="21" s="1"/>
  <c r="M191" i="21"/>
  <c r="M189" i="21" s="1"/>
  <c r="N191" i="21"/>
  <c r="O193" i="21"/>
  <c r="P193" i="21"/>
  <c r="L194" i="21"/>
  <c r="L192" i="21" s="1"/>
  <c r="O192" i="21" s="1"/>
  <c r="M194" i="21"/>
  <c r="M192" i="21" s="1"/>
  <c r="P192" i="21" s="1"/>
  <c r="N194" i="21"/>
  <c r="N192" i="21" s="1"/>
  <c r="J195" i="21"/>
  <c r="L196" i="21"/>
  <c r="O196" i="21" s="1"/>
  <c r="P196" i="21"/>
  <c r="I198" i="21"/>
  <c r="I195" i="21" s="1"/>
  <c r="K195" i="21" s="1"/>
  <c r="J199" i="21"/>
  <c r="J202" i="21"/>
  <c r="N203" i="21"/>
  <c r="P203" i="21"/>
  <c r="L204" i="21"/>
  <c r="L205" i="21"/>
  <c r="L206" i="21"/>
  <c r="L207" i="21"/>
  <c r="I209" i="21"/>
  <c r="I202" i="21" s="1"/>
  <c r="K202" i="21" s="1"/>
  <c r="I211" i="21"/>
  <c r="K211" i="21" s="1"/>
  <c r="I212" i="21"/>
  <c r="K212" i="21" s="1"/>
  <c r="J213" i="21"/>
  <c r="N214" i="21"/>
  <c r="P214" i="21"/>
  <c r="L215" i="21"/>
  <c r="L216" i="21"/>
  <c r="L217" i="21"/>
  <c r="I219" i="21"/>
  <c r="K219" i="21" s="1"/>
  <c r="I220" i="21"/>
  <c r="I213" i="21" s="1"/>
  <c r="K213" i="21" s="1"/>
  <c r="J221" i="21"/>
  <c r="N222" i="21"/>
  <c r="P222" i="21"/>
  <c r="L223" i="21"/>
  <c r="L224" i="21"/>
  <c r="L225" i="21"/>
  <c r="I228" i="21"/>
  <c r="K228" i="21" s="1"/>
  <c r="I229" i="21"/>
  <c r="I221" i="21" s="1"/>
  <c r="K221" i="21" s="1"/>
  <c r="I230" i="21"/>
  <c r="N233" i="21"/>
  <c r="N234" i="21"/>
  <c r="N235" i="21"/>
  <c r="N236" i="21"/>
  <c r="J238" i="21"/>
  <c r="I240" i="21"/>
  <c r="K240" i="21" s="1"/>
  <c r="J240" i="21"/>
  <c r="I241" i="21"/>
  <c r="J241" i="21"/>
  <c r="K241" i="21"/>
  <c r="J242" i="21"/>
  <c r="N243" i="21"/>
  <c r="N232" i="21" s="1"/>
  <c r="P243" i="21"/>
  <c r="L244" i="21"/>
  <c r="L245" i="21"/>
  <c r="L246" i="21"/>
  <c r="L247" i="21"/>
  <c r="I249" i="21"/>
  <c r="I242" i="21" s="1"/>
  <c r="K251" i="21"/>
  <c r="K252" i="21"/>
  <c r="J253" i="21"/>
  <c r="N254" i="21"/>
  <c r="P254" i="21"/>
  <c r="L255" i="21"/>
  <c r="L256" i="21"/>
  <c r="L257" i="21"/>
  <c r="L258" i="21"/>
  <c r="I260" i="21"/>
  <c r="K260" i="21" s="1"/>
  <c r="K262" i="21"/>
  <c r="K263" i="21"/>
  <c r="I265" i="21"/>
  <c r="J265" i="21"/>
  <c r="K265" i="21"/>
  <c r="L267" i="21"/>
  <c r="O267" i="21" s="1"/>
  <c r="M267" i="21"/>
  <c r="N267" i="21"/>
  <c r="P267" i="21"/>
  <c r="O270" i="21"/>
  <c r="P270" i="21"/>
  <c r="L271" i="21"/>
  <c r="L269" i="21" s="1"/>
  <c r="O269" i="21" s="1"/>
  <c r="M271" i="21"/>
  <c r="M269" i="21" s="1"/>
  <c r="P269" i="21" s="1"/>
  <c r="N271" i="21"/>
  <c r="O273" i="21"/>
  <c r="P273" i="21"/>
  <c r="L274" i="21"/>
  <c r="L272" i="21" s="1"/>
  <c r="O272" i="21" s="1"/>
  <c r="M274" i="21"/>
  <c r="M272" i="21" s="1"/>
  <c r="P272" i="21" s="1"/>
  <c r="N274" i="21"/>
  <c r="N272" i="21" s="1"/>
  <c r="J281" i="21"/>
  <c r="L283" i="21"/>
  <c r="M283" i="21"/>
  <c r="P283" i="21" s="1"/>
  <c r="N283" i="21"/>
  <c r="O286" i="21"/>
  <c r="P286" i="21"/>
  <c r="L287" i="21"/>
  <c r="M287" i="21"/>
  <c r="M285" i="21" s="1"/>
  <c r="N287" i="21"/>
  <c r="O289" i="21"/>
  <c r="P289" i="21"/>
  <c r="L290" i="21"/>
  <c r="O290" i="21" s="1"/>
  <c r="M290" i="21"/>
  <c r="M288" i="21" s="1"/>
  <c r="P288" i="21" s="1"/>
  <c r="N290" i="21"/>
  <c r="N288" i="21" s="1"/>
  <c r="I292" i="21"/>
  <c r="I281" i="21" s="1"/>
  <c r="K281" i="21" s="1"/>
  <c r="I293" i="21"/>
  <c r="K293" i="21" s="1"/>
  <c r="J293" i="21"/>
  <c r="J280" i="21" s="1"/>
  <c r="I295" i="21"/>
  <c r="K295" i="21" s="1"/>
  <c r="I296" i="21"/>
  <c r="K296" i="21" s="1"/>
  <c r="J302" i="21"/>
  <c r="L304" i="21"/>
  <c r="M304" i="21"/>
  <c r="P304" i="21" s="1"/>
  <c r="N304" i="21"/>
  <c r="O304" i="21"/>
  <c r="O307" i="21"/>
  <c r="P307" i="21"/>
  <c r="L308" i="21"/>
  <c r="M308" i="21"/>
  <c r="M306" i="21" s="1"/>
  <c r="N308" i="21"/>
  <c r="O310" i="21"/>
  <c r="P310" i="21"/>
  <c r="L311" i="21"/>
  <c r="L309" i="21" s="1"/>
  <c r="O309" i="21" s="1"/>
  <c r="M311" i="21"/>
  <c r="M309" i="21" s="1"/>
  <c r="P309" i="21" s="1"/>
  <c r="N311" i="21"/>
  <c r="N309" i="21" s="1"/>
  <c r="I314" i="21"/>
  <c r="K314" i="21" s="1"/>
  <c r="I315" i="21"/>
  <c r="K315" i="21" s="1"/>
  <c r="I316" i="21"/>
  <c r="K316" i="21" s="1"/>
  <c r="I317" i="21"/>
  <c r="K317" i="21" s="1"/>
  <c r="J319" i="21"/>
  <c r="L321" i="21"/>
  <c r="O321" i="21" s="1"/>
  <c r="M321" i="21"/>
  <c r="N321" i="21"/>
  <c r="O324" i="21"/>
  <c r="P324" i="21"/>
  <c r="L325" i="21"/>
  <c r="L323" i="21" s="1"/>
  <c r="O323" i="21" s="1"/>
  <c r="M325" i="21"/>
  <c r="M323" i="21" s="1"/>
  <c r="P323" i="21" s="1"/>
  <c r="N325" i="21"/>
  <c r="N323" i="21" s="1"/>
  <c r="O327" i="21"/>
  <c r="P327" i="21"/>
  <c r="L328" i="21"/>
  <c r="L326" i="21" s="1"/>
  <c r="O326" i="21" s="1"/>
  <c r="M328" i="21"/>
  <c r="M326" i="21" s="1"/>
  <c r="P326" i="21" s="1"/>
  <c r="N328" i="21"/>
  <c r="N326" i="21" s="1"/>
  <c r="I330" i="21"/>
  <c r="I319" i="21" s="1"/>
  <c r="K319" i="21" s="1"/>
  <c r="L334" i="21"/>
  <c r="O334" i="21" s="1"/>
  <c r="M334" i="21"/>
  <c r="N334" i="21"/>
  <c r="O337" i="21"/>
  <c r="P337" i="21"/>
  <c r="L338" i="21"/>
  <c r="M338" i="21"/>
  <c r="N338" i="21"/>
  <c r="O340" i="21"/>
  <c r="P340" i="21"/>
  <c r="L341" i="21"/>
  <c r="O341" i="21" s="1"/>
  <c r="M341" i="21"/>
  <c r="P341" i="21" s="1"/>
  <c r="N341" i="21"/>
  <c r="N339" i="21" s="1"/>
  <c r="I344" i="21"/>
  <c r="I332" i="21" s="1"/>
  <c r="J344" i="21"/>
  <c r="I346" i="21"/>
  <c r="J346" i="21"/>
  <c r="J347" i="21"/>
  <c r="J348" i="21"/>
  <c r="J349" i="21"/>
  <c r="D350" i="21"/>
  <c r="J352" i="21"/>
  <c r="J353" i="21"/>
  <c r="D354" i="21"/>
  <c r="L357" i="21"/>
  <c r="O357" i="21" s="1"/>
  <c r="M357" i="21"/>
  <c r="N357" i="21"/>
  <c r="O360" i="21"/>
  <c r="P360" i="21"/>
  <c r="L361" i="21"/>
  <c r="M361" i="21"/>
  <c r="N361" i="21"/>
  <c r="O363" i="21"/>
  <c r="P363" i="21"/>
  <c r="L364" i="21"/>
  <c r="O364" i="21" s="1"/>
  <c r="M364" i="21"/>
  <c r="P364" i="21" s="1"/>
  <c r="N364" i="21"/>
  <c r="N362" i="21" s="1"/>
  <c r="J367" i="21"/>
  <c r="K367" i="21"/>
  <c r="I368" i="21"/>
  <c r="J368" i="21"/>
  <c r="I369" i="21"/>
  <c r="J369" i="21"/>
  <c r="J370" i="21"/>
  <c r="K370" i="21"/>
  <c r="I371" i="21"/>
  <c r="I365" i="21" s="1"/>
  <c r="J371" i="21"/>
  <c r="J365" i="21" s="1"/>
  <c r="J372" i="21"/>
  <c r="K372" i="21"/>
  <c r="D373" i="21"/>
  <c r="I376" i="21"/>
  <c r="J376" i="21"/>
  <c r="K376" i="21"/>
  <c r="L378" i="21"/>
  <c r="M378" i="21"/>
  <c r="N378" i="21"/>
  <c r="P378" i="21"/>
  <c r="O381" i="21"/>
  <c r="P381" i="21"/>
  <c r="L382" i="21"/>
  <c r="O382" i="21" s="1"/>
  <c r="M382" i="21"/>
  <c r="P382" i="21" s="1"/>
  <c r="N382" i="21"/>
  <c r="N380" i="21" s="1"/>
  <c r="O384" i="21"/>
  <c r="P384" i="21"/>
  <c r="L385" i="21"/>
  <c r="O385" i="21" s="1"/>
  <c r="M385" i="21"/>
  <c r="P385" i="21" s="1"/>
  <c r="N385" i="21"/>
  <c r="N383" i="21" s="1"/>
  <c r="K387" i="21"/>
  <c r="K388" i="21"/>
  <c r="A391" i="21"/>
  <c r="L22" i="20"/>
  <c r="M22" i="20"/>
  <c r="N22" i="20"/>
  <c r="O22" i="20"/>
  <c r="L25" i="20"/>
  <c r="O25" i="20" s="1"/>
  <c r="M25" i="20"/>
  <c r="N25" i="20"/>
  <c r="N19" i="20" s="1"/>
  <c r="P25" i="20"/>
  <c r="L45" i="20"/>
  <c r="O45" i="20" s="1"/>
  <c r="M45" i="20"/>
  <c r="P45" i="20" s="1"/>
  <c r="N45" i="20"/>
  <c r="O48" i="20"/>
  <c r="P48" i="20"/>
  <c r="L49" i="20"/>
  <c r="M49" i="20"/>
  <c r="N49" i="20"/>
  <c r="O51" i="20"/>
  <c r="P51" i="20"/>
  <c r="L52" i="20"/>
  <c r="O52" i="20" s="1"/>
  <c r="M52" i="20"/>
  <c r="N52" i="20"/>
  <c r="N50" i="20" s="1"/>
  <c r="L60" i="20"/>
  <c r="O60" i="20" s="1"/>
  <c r="M60" i="20"/>
  <c r="N60" i="20"/>
  <c r="O63" i="20"/>
  <c r="P63" i="20"/>
  <c r="L64" i="20"/>
  <c r="L62" i="20" s="1"/>
  <c r="M64" i="20"/>
  <c r="M62" i="20" s="1"/>
  <c r="N64" i="20"/>
  <c r="N62" i="20" s="1"/>
  <c r="O66" i="20"/>
  <c r="P66" i="20"/>
  <c r="L67" i="20"/>
  <c r="O67" i="20" s="1"/>
  <c r="M67" i="20"/>
  <c r="M65" i="20" s="1"/>
  <c r="P65" i="20" s="1"/>
  <c r="N67" i="20"/>
  <c r="N65" i="20" s="1"/>
  <c r="J70" i="20"/>
  <c r="L73" i="20"/>
  <c r="O73" i="20" s="1"/>
  <c r="M73" i="20"/>
  <c r="P73" i="20" s="1"/>
  <c r="N73" i="20"/>
  <c r="O76" i="20"/>
  <c r="P76" i="20"/>
  <c r="L77" i="20"/>
  <c r="L75" i="20" s="1"/>
  <c r="O75" i="20" s="1"/>
  <c r="M77" i="20"/>
  <c r="N77" i="20"/>
  <c r="N75" i="20" s="1"/>
  <c r="O79" i="20"/>
  <c r="P79" i="20"/>
  <c r="L80" i="20"/>
  <c r="L78" i="20" s="1"/>
  <c r="O78" i="20" s="1"/>
  <c r="M80" i="20"/>
  <c r="N80" i="20"/>
  <c r="N78" i="20" s="1"/>
  <c r="J82" i="20"/>
  <c r="J83" i="20"/>
  <c r="J71" i="20" s="1"/>
  <c r="I84" i="20"/>
  <c r="K84" i="20" s="1"/>
  <c r="I85" i="20"/>
  <c r="K85" i="20" s="1"/>
  <c r="I86" i="20"/>
  <c r="K86" i="20" s="1"/>
  <c r="I87" i="20"/>
  <c r="K87" i="20" s="1"/>
  <c r="I88" i="20"/>
  <c r="K88" i="20" s="1"/>
  <c r="I89" i="20"/>
  <c r="K89" i="20" s="1"/>
  <c r="I90" i="20"/>
  <c r="K90" i="20" s="1"/>
  <c r="J92" i="20"/>
  <c r="J93" i="20"/>
  <c r="L95" i="20"/>
  <c r="O95" i="20" s="1"/>
  <c r="M95" i="20"/>
  <c r="P95" i="20" s="1"/>
  <c r="N95" i="20"/>
  <c r="O98" i="20"/>
  <c r="P98" i="20"/>
  <c r="L99" i="20"/>
  <c r="L97" i="20" s="1"/>
  <c r="O97" i="20" s="1"/>
  <c r="M99" i="20"/>
  <c r="N99" i="20"/>
  <c r="N97" i="20" s="1"/>
  <c r="O101" i="20"/>
  <c r="P101" i="20"/>
  <c r="L102" i="20"/>
  <c r="L100" i="20" s="1"/>
  <c r="O100" i="20" s="1"/>
  <c r="M102" i="20"/>
  <c r="M100" i="20" s="1"/>
  <c r="P100" i="20" s="1"/>
  <c r="N102" i="20"/>
  <c r="N100" i="20" s="1"/>
  <c r="I108" i="20"/>
  <c r="K108" i="20" s="1"/>
  <c r="I109" i="20"/>
  <c r="I93" i="20" s="1"/>
  <c r="K93" i="20" s="1"/>
  <c r="I117" i="20"/>
  <c r="K117" i="20" s="1"/>
  <c r="L126" i="20"/>
  <c r="M126" i="20"/>
  <c r="P126" i="20" s="1"/>
  <c r="N126" i="20"/>
  <c r="O129" i="20"/>
  <c r="P129" i="20"/>
  <c r="L130" i="20"/>
  <c r="L128" i="20" s="1"/>
  <c r="O128" i="20" s="1"/>
  <c r="M130" i="20"/>
  <c r="P130" i="20" s="1"/>
  <c r="N130" i="20"/>
  <c r="N128" i="20" s="1"/>
  <c r="O132" i="20"/>
  <c r="P132" i="20"/>
  <c r="L133" i="20"/>
  <c r="M133" i="20"/>
  <c r="P133" i="20" s="1"/>
  <c r="N133" i="20"/>
  <c r="N131" i="20" s="1"/>
  <c r="J136" i="20"/>
  <c r="J137" i="20"/>
  <c r="J138" i="20"/>
  <c r="L140" i="20"/>
  <c r="M140" i="20"/>
  <c r="N140" i="20"/>
  <c r="P140" i="20"/>
  <c r="O143" i="20"/>
  <c r="P143" i="20"/>
  <c r="L144" i="20"/>
  <c r="M144" i="20"/>
  <c r="P144" i="20" s="1"/>
  <c r="N144" i="20"/>
  <c r="N142" i="20" s="1"/>
  <c r="O146" i="20"/>
  <c r="P146" i="20"/>
  <c r="L147" i="20"/>
  <c r="L145" i="20" s="1"/>
  <c r="O145" i="20" s="1"/>
  <c r="M147" i="20"/>
  <c r="P147" i="20" s="1"/>
  <c r="N147" i="20"/>
  <c r="N145" i="20" s="1"/>
  <c r="I150" i="20"/>
  <c r="K150" i="20" s="1"/>
  <c r="I151" i="20"/>
  <c r="K151" i="20" s="1"/>
  <c r="I152" i="20"/>
  <c r="I153" i="20"/>
  <c r="I138" i="20" s="1"/>
  <c r="K138" i="20" s="1"/>
  <c r="I154" i="20"/>
  <c r="K154" i="20" s="1"/>
  <c r="J156" i="20"/>
  <c r="L158" i="20"/>
  <c r="O158" i="20" s="1"/>
  <c r="M158" i="20"/>
  <c r="P158" i="20" s="1"/>
  <c r="N158" i="20"/>
  <c r="O161" i="20"/>
  <c r="P161" i="20"/>
  <c r="L162" i="20"/>
  <c r="O162" i="20" s="1"/>
  <c r="M162" i="20"/>
  <c r="N162" i="20"/>
  <c r="O164" i="20"/>
  <c r="P164" i="20"/>
  <c r="L165" i="20"/>
  <c r="L163" i="20" s="1"/>
  <c r="O163" i="20" s="1"/>
  <c r="M165" i="20"/>
  <c r="P165" i="20" s="1"/>
  <c r="N165" i="20"/>
  <c r="N163" i="20" s="1"/>
  <c r="I167" i="20"/>
  <c r="K167" i="20" s="1"/>
  <c r="I168" i="20"/>
  <c r="K168" i="20" s="1"/>
  <c r="I169" i="20"/>
  <c r="K169" i="20" s="1"/>
  <c r="J172" i="20"/>
  <c r="L174" i="20"/>
  <c r="O174" i="20" s="1"/>
  <c r="M174" i="20"/>
  <c r="N174" i="20"/>
  <c r="O177" i="20"/>
  <c r="P177" i="20"/>
  <c r="L178" i="20"/>
  <c r="M178" i="20"/>
  <c r="N178" i="20"/>
  <c r="N176" i="20" s="1"/>
  <c r="O180" i="20"/>
  <c r="P180" i="20"/>
  <c r="L181" i="20"/>
  <c r="L179" i="20" s="1"/>
  <c r="O179" i="20" s="1"/>
  <c r="M181" i="20"/>
  <c r="P181" i="20" s="1"/>
  <c r="N181" i="20"/>
  <c r="I183" i="20"/>
  <c r="K183" i="20" s="1"/>
  <c r="K184" i="20"/>
  <c r="L187" i="20"/>
  <c r="O187" i="20" s="1"/>
  <c r="M187" i="20"/>
  <c r="P187" i="20" s="1"/>
  <c r="N187" i="20"/>
  <c r="O190" i="20"/>
  <c r="P190" i="20"/>
  <c r="L191" i="20"/>
  <c r="L189" i="20" s="1"/>
  <c r="M191" i="20"/>
  <c r="M189" i="20" s="1"/>
  <c r="N191" i="20"/>
  <c r="N189" i="20" s="1"/>
  <c r="O193" i="20"/>
  <c r="P193" i="20"/>
  <c r="L194" i="20"/>
  <c r="L192" i="20" s="1"/>
  <c r="O192" i="20" s="1"/>
  <c r="M194" i="20"/>
  <c r="M192" i="20" s="1"/>
  <c r="P192" i="20" s="1"/>
  <c r="N194" i="20"/>
  <c r="N192" i="20" s="1"/>
  <c r="J195" i="20"/>
  <c r="L196" i="20"/>
  <c r="O196" i="20" s="1"/>
  <c r="P196" i="20"/>
  <c r="I198" i="20"/>
  <c r="I195" i="20" s="1"/>
  <c r="J199" i="20"/>
  <c r="J202" i="20"/>
  <c r="N203" i="20"/>
  <c r="P203" i="20"/>
  <c r="L204" i="20"/>
  <c r="L205" i="20"/>
  <c r="L206" i="20"/>
  <c r="I209" i="20"/>
  <c r="K209" i="20" s="1"/>
  <c r="I211" i="20"/>
  <c r="K211" i="20" s="1"/>
  <c r="I212" i="20"/>
  <c r="K212" i="20" s="1"/>
  <c r="J213" i="20"/>
  <c r="N214" i="20"/>
  <c r="P214" i="20"/>
  <c r="L215" i="20"/>
  <c r="L216" i="20"/>
  <c r="L217" i="20"/>
  <c r="I219" i="20"/>
  <c r="K219" i="20" s="1"/>
  <c r="I220" i="20"/>
  <c r="K220" i="20" s="1"/>
  <c r="J221" i="20"/>
  <c r="N222" i="20"/>
  <c r="P222" i="20"/>
  <c r="L223" i="20"/>
  <c r="L224" i="20"/>
  <c r="L225" i="20"/>
  <c r="I228" i="20"/>
  <c r="K228" i="20" s="1"/>
  <c r="I229" i="20"/>
  <c r="K229" i="20" s="1"/>
  <c r="I230" i="20"/>
  <c r="K230" i="20" s="1"/>
  <c r="N233" i="20"/>
  <c r="N234" i="20"/>
  <c r="N235" i="20"/>
  <c r="N236" i="20"/>
  <c r="J238" i="20"/>
  <c r="I240" i="20"/>
  <c r="K240" i="20" s="1"/>
  <c r="J240" i="20"/>
  <c r="I241" i="20"/>
  <c r="K241" i="20" s="1"/>
  <c r="J241" i="20"/>
  <c r="J242" i="20"/>
  <c r="J231" i="20" s="1"/>
  <c r="J185" i="20" s="1"/>
  <c r="N243" i="20"/>
  <c r="P243" i="20"/>
  <c r="L244" i="20"/>
  <c r="L245" i="20"/>
  <c r="L246" i="20"/>
  <c r="L247" i="20"/>
  <c r="I249" i="20"/>
  <c r="K249" i="20" s="1"/>
  <c r="K251" i="20"/>
  <c r="K252" i="20"/>
  <c r="J253" i="20"/>
  <c r="N254" i="20"/>
  <c r="N232" i="20" s="1"/>
  <c r="P254" i="20"/>
  <c r="L255" i="20"/>
  <c r="L256" i="20"/>
  <c r="L257" i="20"/>
  <c r="L258" i="20"/>
  <c r="I260" i="20"/>
  <c r="K262" i="20"/>
  <c r="K263" i="20"/>
  <c r="I265" i="20"/>
  <c r="K265" i="20" s="1"/>
  <c r="J265" i="20"/>
  <c r="L267" i="20"/>
  <c r="M267" i="20"/>
  <c r="N267" i="20"/>
  <c r="P267" i="20"/>
  <c r="O270" i="20"/>
  <c r="P270" i="20"/>
  <c r="L271" i="20"/>
  <c r="L269" i="20" s="1"/>
  <c r="O269" i="20" s="1"/>
  <c r="M271" i="20"/>
  <c r="M269" i="20" s="1"/>
  <c r="P269" i="20" s="1"/>
  <c r="N271" i="20"/>
  <c r="N269" i="20" s="1"/>
  <c r="O273" i="20"/>
  <c r="P273" i="20"/>
  <c r="L274" i="20"/>
  <c r="L272" i="20" s="1"/>
  <c r="O272" i="20" s="1"/>
  <c r="M274" i="20"/>
  <c r="M272" i="20" s="1"/>
  <c r="P272" i="20" s="1"/>
  <c r="N274" i="20"/>
  <c r="N272" i="20" s="1"/>
  <c r="J281" i="20"/>
  <c r="L283" i="20"/>
  <c r="O283" i="20" s="1"/>
  <c r="M283" i="20"/>
  <c r="P283" i="20" s="1"/>
  <c r="N283" i="20"/>
  <c r="O286" i="20"/>
  <c r="P286" i="20"/>
  <c r="L287" i="20"/>
  <c r="L285" i="20" s="1"/>
  <c r="O285" i="20" s="1"/>
  <c r="M287" i="20"/>
  <c r="P287" i="20" s="1"/>
  <c r="N287" i="20"/>
  <c r="N285" i="20" s="1"/>
  <c r="O289" i="20"/>
  <c r="P289" i="20"/>
  <c r="L290" i="20"/>
  <c r="L288" i="20" s="1"/>
  <c r="O288" i="20" s="1"/>
  <c r="M290" i="20"/>
  <c r="N290" i="20"/>
  <c r="N288" i="20" s="1"/>
  <c r="I292" i="20"/>
  <c r="I281" i="20" s="1"/>
  <c r="K281" i="20" s="1"/>
  <c r="I293" i="20"/>
  <c r="K293" i="20" s="1"/>
  <c r="J293" i="20"/>
  <c r="J280" i="20" s="1"/>
  <c r="I295" i="20"/>
  <c r="K295" i="20" s="1"/>
  <c r="I296" i="20"/>
  <c r="K296" i="20" s="1"/>
  <c r="J302" i="20"/>
  <c r="L304" i="20"/>
  <c r="O304" i="20" s="1"/>
  <c r="M304" i="20"/>
  <c r="P304" i="20" s="1"/>
  <c r="N304" i="20"/>
  <c r="O307" i="20"/>
  <c r="P307" i="20"/>
  <c r="L308" i="20"/>
  <c r="L306" i="20" s="1"/>
  <c r="O306" i="20" s="1"/>
  <c r="M308" i="20"/>
  <c r="N308" i="20"/>
  <c r="N306" i="20" s="1"/>
  <c r="O310" i="20"/>
  <c r="P310" i="20"/>
  <c r="L311" i="20"/>
  <c r="L309" i="20" s="1"/>
  <c r="O309" i="20" s="1"/>
  <c r="M311" i="20"/>
  <c r="M309" i="20" s="1"/>
  <c r="P309" i="20" s="1"/>
  <c r="N311" i="20"/>
  <c r="N309" i="20" s="1"/>
  <c r="I314" i="20"/>
  <c r="K314" i="20" s="1"/>
  <c r="I315" i="20"/>
  <c r="K315" i="20" s="1"/>
  <c r="I316" i="20"/>
  <c r="K316" i="20" s="1"/>
  <c r="I317" i="20"/>
  <c r="K317" i="20" s="1"/>
  <c r="J319" i="20"/>
  <c r="L321" i="20"/>
  <c r="M321" i="20"/>
  <c r="N321" i="20"/>
  <c r="O321" i="20"/>
  <c r="O324" i="20"/>
  <c r="P324" i="20"/>
  <c r="L325" i="20"/>
  <c r="O325" i="20" s="1"/>
  <c r="M325" i="20"/>
  <c r="M323" i="20" s="1"/>
  <c r="P323" i="20" s="1"/>
  <c r="N325" i="20"/>
  <c r="N323" i="20" s="1"/>
  <c r="O327" i="20"/>
  <c r="P327" i="20"/>
  <c r="L328" i="20"/>
  <c r="O328" i="20" s="1"/>
  <c r="M328" i="20"/>
  <c r="M326" i="20" s="1"/>
  <c r="P326" i="20" s="1"/>
  <c r="N328" i="20"/>
  <c r="N326" i="20" s="1"/>
  <c r="I330" i="20"/>
  <c r="K330" i="20" s="1"/>
  <c r="L334" i="20"/>
  <c r="O334" i="20" s="1"/>
  <c r="M334" i="20"/>
  <c r="P334" i="20" s="1"/>
  <c r="N334" i="20"/>
  <c r="O337" i="20"/>
  <c r="P337" i="20"/>
  <c r="L338" i="20"/>
  <c r="L336" i="20" s="1"/>
  <c r="M338" i="20"/>
  <c r="M336" i="20" s="1"/>
  <c r="N338" i="20"/>
  <c r="O340" i="20"/>
  <c r="P340" i="20"/>
  <c r="L341" i="20"/>
  <c r="L339" i="20" s="1"/>
  <c r="O339" i="20" s="1"/>
  <c r="M341" i="20"/>
  <c r="M339" i="20" s="1"/>
  <c r="P339" i="20" s="1"/>
  <c r="N341" i="20"/>
  <c r="N339" i="20" s="1"/>
  <c r="I344" i="20"/>
  <c r="J344" i="20"/>
  <c r="I346" i="20"/>
  <c r="J346" i="20"/>
  <c r="J347" i="20"/>
  <c r="J348" i="20"/>
  <c r="J349" i="20"/>
  <c r="D350" i="20"/>
  <c r="J352" i="20"/>
  <c r="J353" i="20"/>
  <c r="D354" i="20"/>
  <c r="L357" i="20"/>
  <c r="O357" i="20" s="1"/>
  <c r="M357" i="20"/>
  <c r="P357" i="20" s="1"/>
  <c r="N357" i="20"/>
  <c r="O360" i="20"/>
  <c r="P360" i="20"/>
  <c r="L361" i="20"/>
  <c r="L359" i="20" s="1"/>
  <c r="M361" i="20"/>
  <c r="N361" i="20"/>
  <c r="O363" i="20"/>
  <c r="P363" i="20"/>
  <c r="L364" i="20"/>
  <c r="O364" i="20" s="1"/>
  <c r="M364" i="20"/>
  <c r="M362" i="20" s="1"/>
  <c r="P362" i="20" s="1"/>
  <c r="N364" i="20"/>
  <c r="N362" i="20" s="1"/>
  <c r="J367" i="20"/>
  <c r="K367" i="20"/>
  <c r="I368" i="20"/>
  <c r="K368" i="20" s="1"/>
  <c r="J368" i="20"/>
  <c r="I369" i="20"/>
  <c r="K369" i="20" s="1"/>
  <c r="J369" i="20"/>
  <c r="J370" i="20"/>
  <c r="K370" i="20"/>
  <c r="I371" i="20"/>
  <c r="I365" i="20" s="1"/>
  <c r="K365" i="20" s="1"/>
  <c r="J371" i="20"/>
  <c r="J365" i="20" s="1"/>
  <c r="J372" i="20"/>
  <c r="K372" i="20"/>
  <c r="D373" i="20"/>
  <c r="I376" i="20"/>
  <c r="J376" i="20"/>
  <c r="K376" i="20"/>
  <c r="L378" i="20"/>
  <c r="O378" i="20" s="1"/>
  <c r="M378" i="20"/>
  <c r="N378" i="20"/>
  <c r="O381" i="20"/>
  <c r="P381" i="20"/>
  <c r="L382" i="20"/>
  <c r="O382" i="20" s="1"/>
  <c r="M382" i="20"/>
  <c r="P382" i="20" s="1"/>
  <c r="N382" i="20"/>
  <c r="O384" i="20"/>
  <c r="P384" i="20"/>
  <c r="L385" i="20"/>
  <c r="L383" i="20" s="1"/>
  <c r="O383" i="20" s="1"/>
  <c r="M385" i="20"/>
  <c r="P385" i="20" s="1"/>
  <c r="N385" i="20"/>
  <c r="N383" i="20" s="1"/>
  <c r="K387" i="20"/>
  <c r="K388" i="20"/>
  <c r="A391" i="20"/>
  <c r="L22" i="19"/>
  <c r="O22" i="19" s="1"/>
  <c r="M22" i="19"/>
  <c r="N22" i="19"/>
  <c r="L25" i="19"/>
  <c r="M25" i="19"/>
  <c r="P25" i="19" s="1"/>
  <c r="N25" i="19"/>
  <c r="L45" i="19"/>
  <c r="M45" i="19"/>
  <c r="N45" i="19"/>
  <c r="P45" i="19"/>
  <c r="O48" i="19"/>
  <c r="P48" i="19"/>
  <c r="L49" i="19"/>
  <c r="M49" i="19"/>
  <c r="M47" i="19" s="1"/>
  <c r="N49" i="19"/>
  <c r="N47" i="19" s="1"/>
  <c r="O51" i="19"/>
  <c r="P51" i="19"/>
  <c r="L52" i="19"/>
  <c r="O52" i="19" s="1"/>
  <c r="M52" i="19"/>
  <c r="M50" i="19" s="1"/>
  <c r="P50" i="19" s="1"/>
  <c r="N52" i="19"/>
  <c r="N50" i="19" s="1"/>
  <c r="L60" i="19"/>
  <c r="O60" i="19" s="1"/>
  <c r="M60" i="19"/>
  <c r="N60" i="19"/>
  <c r="O63" i="19"/>
  <c r="P63" i="19"/>
  <c r="L64" i="19"/>
  <c r="M64" i="19"/>
  <c r="M62" i="19" s="1"/>
  <c r="N64" i="19"/>
  <c r="N62" i="19" s="1"/>
  <c r="O66" i="19"/>
  <c r="P66" i="19"/>
  <c r="L67" i="19"/>
  <c r="M67" i="19"/>
  <c r="M65" i="19" s="1"/>
  <c r="P65" i="19" s="1"/>
  <c r="N67" i="19"/>
  <c r="N65" i="19" s="1"/>
  <c r="J70" i="19"/>
  <c r="L73" i="19"/>
  <c r="M73" i="19"/>
  <c r="P73" i="19" s="1"/>
  <c r="N73" i="19"/>
  <c r="O76" i="19"/>
  <c r="P76" i="19"/>
  <c r="L77" i="19"/>
  <c r="L75" i="19" s="1"/>
  <c r="O75" i="19" s="1"/>
  <c r="M77" i="19"/>
  <c r="N77" i="19"/>
  <c r="O79" i="19"/>
  <c r="P79" i="19"/>
  <c r="L80" i="19"/>
  <c r="O80" i="19" s="1"/>
  <c r="M80" i="19"/>
  <c r="N80" i="19"/>
  <c r="N78" i="19" s="1"/>
  <c r="J82" i="19"/>
  <c r="J83" i="19"/>
  <c r="J71" i="19" s="1"/>
  <c r="I84" i="19"/>
  <c r="K84" i="19" s="1"/>
  <c r="I85" i="19"/>
  <c r="K85" i="19" s="1"/>
  <c r="I86" i="19"/>
  <c r="K86" i="19" s="1"/>
  <c r="I87" i="19"/>
  <c r="K87" i="19" s="1"/>
  <c r="I88" i="19"/>
  <c r="K88" i="19" s="1"/>
  <c r="I89" i="19"/>
  <c r="K89" i="19" s="1"/>
  <c r="I90" i="19"/>
  <c r="K90" i="19" s="1"/>
  <c r="J92" i="19"/>
  <c r="J93" i="19"/>
  <c r="L95" i="19"/>
  <c r="M95" i="19"/>
  <c r="P95" i="19" s="1"/>
  <c r="N95" i="19"/>
  <c r="O95" i="19"/>
  <c r="O98" i="19"/>
  <c r="P98" i="19"/>
  <c r="L99" i="19"/>
  <c r="L97" i="19" s="1"/>
  <c r="O97" i="19" s="1"/>
  <c r="M99" i="19"/>
  <c r="M97" i="19" s="1"/>
  <c r="P97" i="19" s="1"/>
  <c r="N99" i="19"/>
  <c r="N97" i="19" s="1"/>
  <c r="O101" i="19"/>
  <c r="P101" i="19"/>
  <c r="L102" i="19"/>
  <c r="L100" i="19" s="1"/>
  <c r="O100" i="19" s="1"/>
  <c r="M102" i="19"/>
  <c r="P102" i="19" s="1"/>
  <c r="N102" i="19"/>
  <c r="N100" i="19" s="1"/>
  <c r="I108" i="19"/>
  <c r="I92" i="19" s="1"/>
  <c r="K92" i="19" s="1"/>
  <c r="I109" i="19"/>
  <c r="I93" i="19" s="1"/>
  <c r="K93" i="19" s="1"/>
  <c r="I117" i="19"/>
  <c r="K117" i="19" s="1"/>
  <c r="L126" i="19"/>
  <c r="M126" i="19"/>
  <c r="P126" i="19" s="1"/>
  <c r="N126" i="19"/>
  <c r="O129" i="19"/>
  <c r="P129" i="19"/>
  <c r="L130" i="19"/>
  <c r="M130" i="19"/>
  <c r="P130" i="19" s="1"/>
  <c r="N130" i="19"/>
  <c r="N128" i="19" s="1"/>
  <c r="O132" i="19"/>
  <c r="P132" i="19"/>
  <c r="L133" i="19"/>
  <c r="L131" i="19" s="1"/>
  <c r="O131" i="19" s="1"/>
  <c r="M133" i="19"/>
  <c r="P133" i="19" s="1"/>
  <c r="N133" i="19"/>
  <c r="N131" i="19" s="1"/>
  <c r="J136" i="19"/>
  <c r="J137" i="19"/>
  <c r="J138" i="19"/>
  <c r="L140" i="19"/>
  <c r="M140" i="19"/>
  <c r="P140" i="19" s="1"/>
  <c r="N140" i="19"/>
  <c r="O143" i="19"/>
  <c r="P143" i="19"/>
  <c r="L144" i="19"/>
  <c r="L142" i="19" s="1"/>
  <c r="M144" i="19"/>
  <c r="N144" i="19"/>
  <c r="N142" i="19" s="1"/>
  <c r="O146" i="19"/>
  <c r="P146" i="19"/>
  <c r="L147" i="19"/>
  <c r="O147" i="19" s="1"/>
  <c r="M147" i="19"/>
  <c r="P147" i="19" s="1"/>
  <c r="N147" i="19"/>
  <c r="N145" i="19" s="1"/>
  <c r="I150" i="19"/>
  <c r="K150" i="19" s="1"/>
  <c r="I151" i="19"/>
  <c r="K151" i="19" s="1"/>
  <c r="I152" i="19"/>
  <c r="I153" i="19"/>
  <c r="K153" i="19" s="1"/>
  <c r="I154" i="19"/>
  <c r="K154" i="19" s="1"/>
  <c r="J156" i="19"/>
  <c r="L158" i="19"/>
  <c r="O158" i="19" s="1"/>
  <c r="M158" i="19"/>
  <c r="N158" i="19"/>
  <c r="P158" i="19"/>
  <c r="O161" i="19"/>
  <c r="P161" i="19"/>
  <c r="L162" i="19"/>
  <c r="L160" i="19" s="1"/>
  <c r="M162" i="19"/>
  <c r="N162" i="19"/>
  <c r="O164" i="19"/>
  <c r="P164" i="19"/>
  <c r="L165" i="19"/>
  <c r="L163" i="19" s="1"/>
  <c r="O163" i="19" s="1"/>
  <c r="M165" i="19"/>
  <c r="N165" i="19"/>
  <c r="N163" i="19" s="1"/>
  <c r="I167" i="19"/>
  <c r="K167" i="19" s="1"/>
  <c r="J172" i="19"/>
  <c r="L174" i="19"/>
  <c r="O174" i="19" s="1"/>
  <c r="M174" i="19"/>
  <c r="P174" i="19" s="1"/>
  <c r="N174" i="19"/>
  <c r="O177" i="19"/>
  <c r="P177" i="19"/>
  <c r="L178" i="19"/>
  <c r="M178" i="19"/>
  <c r="N178" i="19"/>
  <c r="N176" i="19" s="1"/>
  <c r="O180" i="19"/>
  <c r="P180" i="19"/>
  <c r="L181" i="19"/>
  <c r="O181" i="19" s="1"/>
  <c r="M181" i="19"/>
  <c r="P181" i="19" s="1"/>
  <c r="N181" i="19"/>
  <c r="I183" i="19"/>
  <c r="K183" i="19" s="1"/>
  <c r="K184" i="19"/>
  <c r="L187" i="19"/>
  <c r="O187" i="19" s="1"/>
  <c r="M187" i="19"/>
  <c r="P187" i="19" s="1"/>
  <c r="N187" i="19"/>
  <c r="O190" i="19"/>
  <c r="P190" i="19"/>
  <c r="L191" i="19"/>
  <c r="L189" i="19" s="1"/>
  <c r="M191" i="19"/>
  <c r="N191" i="19"/>
  <c r="N189" i="19" s="1"/>
  <c r="O193" i="19"/>
  <c r="P193" i="19"/>
  <c r="L194" i="19"/>
  <c r="L192" i="19" s="1"/>
  <c r="O192" i="19" s="1"/>
  <c r="M194" i="19"/>
  <c r="M192" i="19" s="1"/>
  <c r="P192" i="19" s="1"/>
  <c r="N194" i="19"/>
  <c r="N192" i="19" s="1"/>
  <c r="J195" i="19"/>
  <c r="L196" i="19"/>
  <c r="O196" i="19" s="1"/>
  <c r="P196" i="19"/>
  <c r="I198" i="19"/>
  <c r="I195" i="19" s="1"/>
  <c r="J199" i="19"/>
  <c r="J202" i="19"/>
  <c r="N203" i="19"/>
  <c r="P203" i="19"/>
  <c r="L204" i="19"/>
  <c r="L205" i="19"/>
  <c r="L206" i="19"/>
  <c r="L207" i="19"/>
  <c r="I209" i="19"/>
  <c r="K209" i="19" s="1"/>
  <c r="I211" i="19"/>
  <c r="K211" i="19" s="1"/>
  <c r="I212" i="19"/>
  <c r="K212" i="19" s="1"/>
  <c r="J213" i="19"/>
  <c r="N214" i="19"/>
  <c r="P214" i="19"/>
  <c r="L215" i="19"/>
  <c r="L216" i="19"/>
  <c r="L217" i="19"/>
  <c r="I219" i="19"/>
  <c r="K219" i="19" s="1"/>
  <c r="I220" i="19"/>
  <c r="I213" i="19" s="1"/>
  <c r="K213" i="19" s="1"/>
  <c r="J221" i="19"/>
  <c r="N222" i="19"/>
  <c r="P222" i="19"/>
  <c r="L223" i="19"/>
  <c r="L224" i="19"/>
  <c r="L225" i="19"/>
  <c r="I228" i="19"/>
  <c r="K228" i="19" s="1"/>
  <c r="I229" i="19"/>
  <c r="I221" i="19" s="1"/>
  <c r="K221" i="19" s="1"/>
  <c r="I230" i="19"/>
  <c r="K230" i="19" s="1"/>
  <c r="J231" i="19"/>
  <c r="J185" i="19" s="1"/>
  <c r="N233" i="19"/>
  <c r="N234" i="19"/>
  <c r="N235" i="19"/>
  <c r="N236" i="19"/>
  <c r="J238" i="19"/>
  <c r="I240" i="19"/>
  <c r="K240" i="19" s="1"/>
  <c r="J240" i="19"/>
  <c r="I241" i="19"/>
  <c r="K241" i="19" s="1"/>
  <c r="J241" i="19"/>
  <c r="J242" i="19"/>
  <c r="N243" i="19"/>
  <c r="P243" i="19"/>
  <c r="L244" i="19"/>
  <c r="L245" i="19"/>
  <c r="L246" i="19"/>
  <c r="L247" i="19"/>
  <c r="I249" i="19"/>
  <c r="K249" i="19" s="1"/>
  <c r="K251" i="19"/>
  <c r="K252" i="19"/>
  <c r="J253" i="19"/>
  <c r="N254" i="19"/>
  <c r="P254" i="19"/>
  <c r="L255" i="19"/>
  <c r="L256" i="19"/>
  <c r="L257" i="19"/>
  <c r="L258" i="19"/>
  <c r="I260" i="19"/>
  <c r="K260" i="19" s="1"/>
  <c r="K262" i="19"/>
  <c r="K263" i="19"/>
  <c r="I265" i="19"/>
  <c r="K265" i="19" s="1"/>
  <c r="J265" i="19"/>
  <c r="L267" i="19"/>
  <c r="O267" i="19" s="1"/>
  <c r="M267" i="19"/>
  <c r="P267" i="19" s="1"/>
  <c r="N267" i="19"/>
  <c r="O270" i="19"/>
  <c r="P270" i="19"/>
  <c r="L271" i="19"/>
  <c r="O271" i="19" s="1"/>
  <c r="M271" i="19"/>
  <c r="M269" i="19" s="1"/>
  <c r="P269" i="19" s="1"/>
  <c r="N271" i="19"/>
  <c r="N269" i="19" s="1"/>
  <c r="O273" i="19"/>
  <c r="P273" i="19"/>
  <c r="L274" i="19"/>
  <c r="L272" i="19" s="1"/>
  <c r="O272" i="19" s="1"/>
  <c r="M274" i="19"/>
  <c r="M272" i="19" s="1"/>
  <c r="P272" i="19" s="1"/>
  <c r="N274" i="19"/>
  <c r="N272" i="19" s="1"/>
  <c r="J281" i="19"/>
  <c r="L283" i="19"/>
  <c r="O283" i="19" s="1"/>
  <c r="M283" i="19"/>
  <c r="N283" i="19"/>
  <c r="O286" i="19"/>
  <c r="P286" i="19"/>
  <c r="L287" i="19"/>
  <c r="L285" i="19" s="1"/>
  <c r="O285" i="19" s="1"/>
  <c r="M287" i="19"/>
  <c r="P287" i="19" s="1"/>
  <c r="N287" i="19"/>
  <c r="N285" i="19" s="1"/>
  <c r="O289" i="19"/>
  <c r="P289" i="19"/>
  <c r="L290" i="19"/>
  <c r="L288" i="19" s="1"/>
  <c r="O288" i="19" s="1"/>
  <c r="M290" i="19"/>
  <c r="P290" i="19" s="1"/>
  <c r="N290" i="19"/>
  <c r="N288" i="19" s="1"/>
  <c r="I292" i="19"/>
  <c r="I281" i="19" s="1"/>
  <c r="K281" i="19" s="1"/>
  <c r="I293" i="19"/>
  <c r="I280" i="19" s="1"/>
  <c r="K280" i="19" s="1"/>
  <c r="J293" i="19"/>
  <c r="J280" i="19" s="1"/>
  <c r="I295" i="19"/>
  <c r="K295" i="19" s="1"/>
  <c r="I296" i="19"/>
  <c r="K296" i="19" s="1"/>
  <c r="J302" i="19"/>
  <c r="L304" i="19"/>
  <c r="O304" i="19" s="1"/>
  <c r="M304" i="19"/>
  <c r="P304" i="19" s="1"/>
  <c r="N304" i="19"/>
  <c r="O307" i="19"/>
  <c r="P307" i="19"/>
  <c r="L308" i="19"/>
  <c r="M308" i="19"/>
  <c r="M306" i="19" s="1"/>
  <c r="P306" i="19" s="1"/>
  <c r="N308" i="19"/>
  <c r="N306" i="19" s="1"/>
  <c r="O310" i="19"/>
  <c r="P310" i="19"/>
  <c r="L311" i="19"/>
  <c r="O311" i="19" s="1"/>
  <c r="M311" i="19"/>
  <c r="M309" i="19" s="1"/>
  <c r="P309" i="19" s="1"/>
  <c r="N311" i="19"/>
  <c r="N309" i="19" s="1"/>
  <c r="I314" i="19"/>
  <c r="I302" i="19" s="1"/>
  <c r="K302" i="19" s="1"/>
  <c r="I315" i="19"/>
  <c r="K315" i="19" s="1"/>
  <c r="I316" i="19"/>
  <c r="K316" i="19" s="1"/>
  <c r="I317" i="19"/>
  <c r="K317" i="19" s="1"/>
  <c r="J319" i="19"/>
  <c r="L321" i="19"/>
  <c r="M321" i="19"/>
  <c r="P321" i="19" s="1"/>
  <c r="N321" i="19"/>
  <c r="O324" i="19"/>
  <c r="P324" i="19"/>
  <c r="L325" i="19"/>
  <c r="L323" i="19" s="1"/>
  <c r="O323" i="19" s="1"/>
  <c r="M325" i="19"/>
  <c r="P325" i="19" s="1"/>
  <c r="N325" i="19"/>
  <c r="N323" i="19" s="1"/>
  <c r="O327" i="19"/>
  <c r="P327" i="19"/>
  <c r="L328" i="19"/>
  <c r="L326" i="19" s="1"/>
  <c r="O326" i="19" s="1"/>
  <c r="M328" i="19"/>
  <c r="M326" i="19" s="1"/>
  <c r="P326" i="19" s="1"/>
  <c r="N328" i="19"/>
  <c r="N326" i="19" s="1"/>
  <c r="I330" i="19"/>
  <c r="I319" i="19" s="1"/>
  <c r="K319" i="19" s="1"/>
  <c r="L334" i="19"/>
  <c r="O334" i="19" s="1"/>
  <c r="M334" i="19"/>
  <c r="N334" i="19"/>
  <c r="O337" i="19"/>
  <c r="P337" i="19"/>
  <c r="L338" i="19"/>
  <c r="M338" i="19"/>
  <c r="M336" i="19" s="1"/>
  <c r="N338" i="19"/>
  <c r="N336" i="19" s="1"/>
  <c r="O340" i="19"/>
  <c r="P340" i="19"/>
  <c r="L341" i="19"/>
  <c r="M341" i="19"/>
  <c r="M339" i="19" s="1"/>
  <c r="P339" i="19" s="1"/>
  <c r="N341" i="19"/>
  <c r="N339" i="19" s="1"/>
  <c r="I344" i="19"/>
  <c r="J344" i="19"/>
  <c r="I346" i="19"/>
  <c r="J346" i="19"/>
  <c r="J347" i="19"/>
  <c r="J348" i="19"/>
  <c r="J349" i="19"/>
  <c r="D350" i="19"/>
  <c r="J352" i="19"/>
  <c r="J353" i="19"/>
  <c r="D354" i="19"/>
  <c r="L357" i="19"/>
  <c r="M357" i="19"/>
  <c r="N357" i="19"/>
  <c r="O357" i="19"/>
  <c r="P357" i="19"/>
  <c r="O360" i="19"/>
  <c r="P360" i="19"/>
  <c r="L361" i="19"/>
  <c r="M361" i="19"/>
  <c r="N361" i="19"/>
  <c r="N359" i="19" s="1"/>
  <c r="O363" i="19"/>
  <c r="P363" i="19"/>
  <c r="L364" i="19"/>
  <c r="O364" i="19" s="1"/>
  <c r="M364" i="19"/>
  <c r="M362" i="19" s="1"/>
  <c r="P362" i="19" s="1"/>
  <c r="N364" i="19"/>
  <c r="N362" i="19" s="1"/>
  <c r="J367" i="19"/>
  <c r="K367" i="19"/>
  <c r="I368" i="19"/>
  <c r="J368" i="19"/>
  <c r="I369" i="19"/>
  <c r="J369" i="19"/>
  <c r="J370" i="19"/>
  <c r="K370" i="19"/>
  <c r="I371" i="19"/>
  <c r="J371" i="19"/>
  <c r="J365" i="19" s="1"/>
  <c r="J372" i="19"/>
  <c r="K372" i="19"/>
  <c r="D373" i="19"/>
  <c r="I376" i="19"/>
  <c r="K376" i="19" s="1"/>
  <c r="J376" i="19"/>
  <c r="L378" i="19"/>
  <c r="O378" i="19" s="1"/>
  <c r="M378" i="19"/>
  <c r="N378" i="19"/>
  <c r="P378" i="19"/>
  <c r="O381" i="19"/>
  <c r="P381" i="19"/>
  <c r="L382" i="19"/>
  <c r="L380" i="19" s="1"/>
  <c r="O380" i="19" s="1"/>
  <c r="M382" i="19"/>
  <c r="M380" i="19" s="1"/>
  <c r="P380" i="19" s="1"/>
  <c r="N382" i="19"/>
  <c r="O384" i="19"/>
  <c r="P384" i="19"/>
  <c r="L385" i="19"/>
  <c r="O385" i="19" s="1"/>
  <c r="M385" i="19"/>
  <c r="M383" i="19" s="1"/>
  <c r="P383" i="19" s="1"/>
  <c r="N385" i="19"/>
  <c r="N383" i="19" s="1"/>
  <c r="K387" i="19"/>
  <c r="K388" i="19"/>
  <c r="A391" i="19"/>
  <c r="L22" i="18"/>
  <c r="L19" i="18" s="1"/>
  <c r="M22" i="18"/>
  <c r="M19" i="18" s="1"/>
  <c r="P19" i="18" s="1"/>
  <c r="N22" i="18"/>
  <c r="O22" i="18"/>
  <c r="L25" i="18"/>
  <c r="O25" i="18" s="1"/>
  <c r="M25" i="18"/>
  <c r="N25" i="18"/>
  <c r="N19" i="18" s="1"/>
  <c r="P25" i="18"/>
  <c r="L45" i="18"/>
  <c r="O45" i="18" s="1"/>
  <c r="M45" i="18"/>
  <c r="P45" i="18" s="1"/>
  <c r="N45" i="18"/>
  <c r="O48" i="18"/>
  <c r="P48" i="18"/>
  <c r="L49" i="18"/>
  <c r="M49" i="18"/>
  <c r="N49" i="18"/>
  <c r="O51" i="18"/>
  <c r="P51" i="18"/>
  <c r="L52" i="18"/>
  <c r="O52" i="18" s="1"/>
  <c r="M52" i="18"/>
  <c r="N52" i="18"/>
  <c r="N50" i="18" s="1"/>
  <c r="L60" i="18"/>
  <c r="O60" i="18" s="1"/>
  <c r="M60" i="18"/>
  <c r="N60" i="18"/>
  <c r="O63" i="18"/>
  <c r="P63" i="18"/>
  <c r="L64" i="18"/>
  <c r="L62" i="18" s="1"/>
  <c r="M64" i="18"/>
  <c r="M62" i="18" s="1"/>
  <c r="N64" i="18"/>
  <c r="N62" i="18" s="1"/>
  <c r="O66" i="18"/>
  <c r="P66" i="18"/>
  <c r="L67" i="18"/>
  <c r="O67" i="18" s="1"/>
  <c r="M67" i="18"/>
  <c r="P67" i="18" s="1"/>
  <c r="N67" i="18"/>
  <c r="N65" i="18" s="1"/>
  <c r="L73" i="18"/>
  <c r="O73" i="18" s="1"/>
  <c r="M73" i="18"/>
  <c r="P73" i="18" s="1"/>
  <c r="N73" i="18"/>
  <c r="O76" i="18"/>
  <c r="P76" i="18"/>
  <c r="L77" i="18"/>
  <c r="M77" i="18"/>
  <c r="N77" i="18"/>
  <c r="O79" i="18"/>
  <c r="P79" i="18"/>
  <c r="L80" i="18"/>
  <c r="L78" i="18" s="1"/>
  <c r="O78" i="18" s="1"/>
  <c r="M80" i="18"/>
  <c r="N80" i="18"/>
  <c r="N78" i="18" s="1"/>
  <c r="J82" i="18"/>
  <c r="J70" i="18" s="1"/>
  <c r="J83" i="18"/>
  <c r="J71" i="18" s="1"/>
  <c r="I84" i="18"/>
  <c r="K84" i="18" s="1"/>
  <c r="I85" i="18"/>
  <c r="K85" i="18" s="1"/>
  <c r="I86" i="18"/>
  <c r="K86" i="18" s="1"/>
  <c r="I87" i="18"/>
  <c r="K87" i="18" s="1"/>
  <c r="I88" i="18"/>
  <c r="K88" i="18" s="1"/>
  <c r="I89" i="18"/>
  <c r="K89" i="18" s="1"/>
  <c r="I90" i="18"/>
  <c r="K90" i="18" s="1"/>
  <c r="J92" i="18"/>
  <c r="J93" i="18"/>
  <c r="L95" i="18"/>
  <c r="O95" i="18" s="1"/>
  <c r="M95" i="18"/>
  <c r="P95" i="18" s="1"/>
  <c r="N95" i="18"/>
  <c r="O98" i="18"/>
  <c r="P98" i="18"/>
  <c r="L99" i="18"/>
  <c r="L97" i="18" s="1"/>
  <c r="O97" i="18" s="1"/>
  <c r="M99" i="18"/>
  <c r="N99" i="18"/>
  <c r="N97" i="18" s="1"/>
  <c r="O101" i="18"/>
  <c r="P101" i="18"/>
  <c r="L102" i="18"/>
  <c r="L100" i="18" s="1"/>
  <c r="O100" i="18" s="1"/>
  <c r="M102" i="18"/>
  <c r="M100" i="18" s="1"/>
  <c r="P100" i="18" s="1"/>
  <c r="N102" i="18"/>
  <c r="N100" i="18" s="1"/>
  <c r="I108" i="18"/>
  <c r="K108" i="18" s="1"/>
  <c r="I109" i="18"/>
  <c r="I93" i="18" s="1"/>
  <c r="K93" i="18" s="1"/>
  <c r="I117" i="18"/>
  <c r="K117" i="18" s="1"/>
  <c r="L126" i="18"/>
  <c r="M126" i="18"/>
  <c r="P126" i="18" s="1"/>
  <c r="N126" i="18"/>
  <c r="O129" i="18"/>
  <c r="P129" i="18"/>
  <c r="L130" i="18"/>
  <c r="L128" i="18" s="1"/>
  <c r="O128" i="18" s="1"/>
  <c r="M130" i="18"/>
  <c r="P130" i="18" s="1"/>
  <c r="N130" i="18"/>
  <c r="N128" i="18" s="1"/>
  <c r="O132" i="18"/>
  <c r="P132" i="18"/>
  <c r="L133" i="18"/>
  <c r="O133" i="18" s="1"/>
  <c r="M133" i="18"/>
  <c r="P133" i="18" s="1"/>
  <c r="N133" i="18"/>
  <c r="N131" i="18" s="1"/>
  <c r="J136" i="18"/>
  <c r="J137" i="18"/>
  <c r="J138" i="18"/>
  <c r="L140" i="18"/>
  <c r="M140" i="18"/>
  <c r="P140" i="18" s="1"/>
  <c r="N140" i="18"/>
  <c r="O143" i="18"/>
  <c r="P143" i="18"/>
  <c r="L144" i="18"/>
  <c r="M144" i="18"/>
  <c r="P144" i="18" s="1"/>
  <c r="N144" i="18"/>
  <c r="N142" i="18" s="1"/>
  <c r="O146" i="18"/>
  <c r="P146" i="18"/>
  <c r="L147" i="18"/>
  <c r="L145" i="18" s="1"/>
  <c r="O145" i="18" s="1"/>
  <c r="M147" i="18"/>
  <c r="P147" i="18" s="1"/>
  <c r="N147" i="18"/>
  <c r="N145" i="18" s="1"/>
  <c r="I150" i="18"/>
  <c r="K150" i="18" s="1"/>
  <c r="I151" i="18"/>
  <c r="K151" i="18" s="1"/>
  <c r="I152" i="18"/>
  <c r="I153" i="18"/>
  <c r="I138" i="18" s="1"/>
  <c r="K138" i="18" s="1"/>
  <c r="I154" i="18"/>
  <c r="K154" i="18" s="1"/>
  <c r="J156" i="18"/>
  <c r="L158" i="18"/>
  <c r="O158" i="18" s="1"/>
  <c r="M158" i="18"/>
  <c r="P158" i="18" s="1"/>
  <c r="N158" i="18"/>
  <c r="O161" i="18"/>
  <c r="P161" i="18"/>
  <c r="L162" i="18"/>
  <c r="L160" i="18" s="1"/>
  <c r="O160" i="18" s="1"/>
  <c r="M162" i="18"/>
  <c r="P162" i="18" s="1"/>
  <c r="N162" i="18"/>
  <c r="O164" i="18"/>
  <c r="P164" i="18"/>
  <c r="L165" i="18"/>
  <c r="L163" i="18" s="1"/>
  <c r="O163" i="18" s="1"/>
  <c r="M165" i="18"/>
  <c r="P165" i="18" s="1"/>
  <c r="N165" i="18"/>
  <c r="N163" i="18" s="1"/>
  <c r="I167" i="18"/>
  <c r="K167" i="18" s="1"/>
  <c r="I168" i="18"/>
  <c r="K168" i="18" s="1"/>
  <c r="I169" i="18"/>
  <c r="K169" i="18" s="1"/>
  <c r="J172" i="18"/>
  <c r="L174" i="18"/>
  <c r="O174" i="18" s="1"/>
  <c r="M174" i="18"/>
  <c r="N174" i="18"/>
  <c r="O177" i="18"/>
  <c r="P177" i="18"/>
  <c r="L178" i="18"/>
  <c r="M178" i="18"/>
  <c r="N178" i="18"/>
  <c r="O180" i="18"/>
  <c r="P180" i="18"/>
  <c r="L181" i="18"/>
  <c r="L179" i="18" s="1"/>
  <c r="O179" i="18" s="1"/>
  <c r="M181" i="18"/>
  <c r="P181" i="18" s="1"/>
  <c r="N181" i="18"/>
  <c r="N179" i="18" s="1"/>
  <c r="I183" i="18"/>
  <c r="I172" i="18" s="1"/>
  <c r="K172" i="18" s="1"/>
  <c r="K184" i="18"/>
  <c r="L187" i="18"/>
  <c r="M187" i="18"/>
  <c r="N187" i="18"/>
  <c r="O187" i="18"/>
  <c r="O190" i="18"/>
  <c r="P190" i="18"/>
  <c r="L191" i="18"/>
  <c r="L189" i="18" s="1"/>
  <c r="M191" i="18"/>
  <c r="N191" i="18"/>
  <c r="N189" i="18" s="1"/>
  <c r="O193" i="18"/>
  <c r="P193" i="18"/>
  <c r="L194" i="18"/>
  <c r="L192" i="18" s="1"/>
  <c r="O192" i="18" s="1"/>
  <c r="M194" i="18"/>
  <c r="M192" i="18" s="1"/>
  <c r="P192" i="18" s="1"/>
  <c r="N194" i="18"/>
  <c r="N192" i="18" s="1"/>
  <c r="J195" i="18"/>
  <c r="L196" i="18"/>
  <c r="O196" i="18" s="1"/>
  <c r="P196" i="18"/>
  <c r="I198" i="18"/>
  <c r="I195" i="18" s="1"/>
  <c r="J199" i="18"/>
  <c r="J202" i="18"/>
  <c r="N203" i="18"/>
  <c r="P203" i="18"/>
  <c r="L204" i="18"/>
  <c r="L205" i="18"/>
  <c r="L206" i="18"/>
  <c r="L207" i="18"/>
  <c r="I209" i="18"/>
  <c r="I202" i="18" s="1"/>
  <c r="K202" i="18" s="1"/>
  <c r="I211" i="18"/>
  <c r="K211" i="18" s="1"/>
  <c r="I212" i="18"/>
  <c r="K212" i="18" s="1"/>
  <c r="J213" i="18"/>
  <c r="N214" i="18"/>
  <c r="P214" i="18"/>
  <c r="L215" i="18"/>
  <c r="L216" i="18"/>
  <c r="L217" i="18"/>
  <c r="I219" i="18"/>
  <c r="K219" i="18" s="1"/>
  <c r="I220" i="18"/>
  <c r="I213" i="18" s="1"/>
  <c r="J221" i="18"/>
  <c r="N222" i="18"/>
  <c r="P222" i="18"/>
  <c r="L223" i="18"/>
  <c r="L224" i="18"/>
  <c r="L225" i="18"/>
  <c r="I228" i="18"/>
  <c r="K228" i="18" s="1"/>
  <c r="I229" i="18"/>
  <c r="I221" i="18" s="1"/>
  <c r="I230" i="18"/>
  <c r="N233" i="18"/>
  <c r="N234" i="18"/>
  <c r="N235" i="18"/>
  <c r="N236" i="18"/>
  <c r="J238" i="18"/>
  <c r="J240" i="18"/>
  <c r="J241" i="18"/>
  <c r="J242" i="18"/>
  <c r="N243" i="18"/>
  <c r="N232" i="18" s="1"/>
  <c r="P243" i="18"/>
  <c r="L244" i="18"/>
  <c r="L245" i="18"/>
  <c r="L246" i="18"/>
  <c r="L247" i="18"/>
  <c r="I249" i="18"/>
  <c r="I242" i="18" s="1"/>
  <c r="I251" i="18"/>
  <c r="K251" i="18" s="1"/>
  <c r="I252" i="18"/>
  <c r="K252" i="18" s="1"/>
  <c r="J253" i="18"/>
  <c r="J231" i="18" s="1"/>
  <c r="J185" i="18" s="1"/>
  <c r="N254" i="18"/>
  <c r="P254" i="18"/>
  <c r="L255" i="18"/>
  <c r="L256" i="18"/>
  <c r="L257" i="18"/>
  <c r="L258" i="18"/>
  <c r="I260" i="18"/>
  <c r="K260" i="18" s="1"/>
  <c r="I262" i="18"/>
  <c r="K262" i="18" s="1"/>
  <c r="I263" i="18"/>
  <c r="K263" i="18" s="1"/>
  <c r="I265" i="18"/>
  <c r="K265" i="18" s="1"/>
  <c r="J265" i="18"/>
  <c r="L267" i="18"/>
  <c r="O267" i="18" s="1"/>
  <c r="M267" i="18"/>
  <c r="P267" i="18" s="1"/>
  <c r="N267" i="18"/>
  <c r="O270" i="18"/>
  <c r="P270" i="18"/>
  <c r="L271" i="18"/>
  <c r="O271" i="18" s="1"/>
  <c r="M271" i="18"/>
  <c r="M269" i="18" s="1"/>
  <c r="P269" i="18" s="1"/>
  <c r="N271" i="18"/>
  <c r="N269" i="18" s="1"/>
  <c r="O273" i="18"/>
  <c r="P273" i="18"/>
  <c r="L274" i="18"/>
  <c r="O274" i="18" s="1"/>
  <c r="M274" i="18"/>
  <c r="P274" i="18" s="1"/>
  <c r="N274" i="18"/>
  <c r="N272" i="18" s="1"/>
  <c r="J281" i="18"/>
  <c r="L283" i="18"/>
  <c r="M283" i="18"/>
  <c r="P283" i="18" s="1"/>
  <c r="N283" i="18"/>
  <c r="O286" i="18"/>
  <c r="P286" i="18"/>
  <c r="L287" i="18"/>
  <c r="O287" i="18" s="1"/>
  <c r="M287" i="18"/>
  <c r="M285" i="18" s="1"/>
  <c r="P285" i="18" s="1"/>
  <c r="N287" i="18"/>
  <c r="N285" i="18" s="1"/>
  <c r="O289" i="18"/>
  <c r="P289" i="18"/>
  <c r="L290" i="18"/>
  <c r="O290" i="18" s="1"/>
  <c r="M290" i="18"/>
  <c r="M288" i="18" s="1"/>
  <c r="P288" i="18" s="1"/>
  <c r="N290" i="18"/>
  <c r="N288" i="18" s="1"/>
  <c r="I292" i="18"/>
  <c r="K292" i="18" s="1"/>
  <c r="I293" i="18"/>
  <c r="I280" i="18" s="1"/>
  <c r="K280" i="18" s="1"/>
  <c r="J293" i="18"/>
  <c r="J280" i="18" s="1"/>
  <c r="I295" i="18"/>
  <c r="K295" i="18" s="1"/>
  <c r="I296" i="18"/>
  <c r="K296" i="18" s="1"/>
  <c r="J302" i="18"/>
  <c r="L304" i="18"/>
  <c r="M304" i="18"/>
  <c r="N304" i="18"/>
  <c r="O304" i="18"/>
  <c r="O307" i="18"/>
  <c r="P307" i="18"/>
  <c r="L308" i="18"/>
  <c r="O308" i="18" s="1"/>
  <c r="M308" i="18"/>
  <c r="M306" i="18" s="1"/>
  <c r="P306" i="18" s="1"/>
  <c r="N308" i="18"/>
  <c r="N306" i="18" s="1"/>
  <c r="O310" i="18"/>
  <c r="P310" i="18"/>
  <c r="L311" i="18"/>
  <c r="O311" i="18" s="1"/>
  <c r="M311" i="18"/>
  <c r="M309" i="18" s="1"/>
  <c r="P309" i="18" s="1"/>
  <c r="N311" i="18"/>
  <c r="N309" i="18" s="1"/>
  <c r="I314" i="18"/>
  <c r="I302" i="18" s="1"/>
  <c r="K302" i="18" s="1"/>
  <c r="I315" i="18"/>
  <c r="K315" i="18" s="1"/>
  <c r="I316" i="18"/>
  <c r="K316" i="18" s="1"/>
  <c r="I317" i="18"/>
  <c r="K317" i="18" s="1"/>
  <c r="J319" i="18"/>
  <c r="L321" i="18"/>
  <c r="M321" i="18"/>
  <c r="P321" i="18" s="1"/>
  <c r="N321" i="18"/>
  <c r="O321" i="18"/>
  <c r="O324" i="18"/>
  <c r="P324" i="18"/>
  <c r="L325" i="18"/>
  <c r="L323" i="18" s="1"/>
  <c r="M325" i="18"/>
  <c r="M323" i="18" s="1"/>
  <c r="N325" i="18"/>
  <c r="N323" i="18" s="1"/>
  <c r="O327" i="18"/>
  <c r="P327" i="18"/>
  <c r="L328" i="18"/>
  <c r="L326" i="18" s="1"/>
  <c r="O326" i="18" s="1"/>
  <c r="M328" i="18"/>
  <c r="M326" i="18" s="1"/>
  <c r="P326" i="18" s="1"/>
  <c r="N328" i="18"/>
  <c r="N326" i="18" s="1"/>
  <c r="I330" i="18"/>
  <c r="K330" i="18" s="1"/>
  <c r="L334" i="18"/>
  <c r="M334" i="18"/>
  <c r="P334" i="18" s="1"/>
  <c r="N334" i="18"/>
  <c r="O334" i="18"/>
  <c r="O337" i="18"/>
  <c r="P337" i="18"/>
  <c r="L338" i="18"/>
  <c r="L336" i="18" s="1"/>
  <c r="M338" i="18"/>
  <c r="N338" i="18"/>
  <c r="O340" i="18"/>
  <c r="P340" i="18"/>
  <c r="L341" i="18"/>
  <c r="L339" i="18" s="1"/>
  <c r="O339" i="18" s="1"/>
  <c r="M341" i="18"/>
  <c r="P341" i="18" s="1"/>
  <c r="N341" i="18"/>
  <c r="N339" i="18" s="1"/>
  <c r="I344" i="18"/>
  <c r="I332" i="18" s="1"/>
  <c r="J344" i="18"/>
  <c r="I346" i="18"/>
  <c r="J346" i="18"/>
  <c r="J347" i="18"/>
  <c r="J348" i="18"/>
  <c r="J349" i="18"/>
  <c r="D350" i="18"/>
  <c r="J352" i="18"/>
  <c r="J353" i="18"/>
  <c r="D354" i="18"/>
  <c r="L357" i="18"/>
  <c r="O357" i="18" s="1"/>
  <c r="M357" i="18"/>
  <c r="P357" i="18" s="1"/>
  <c r="N357" i="18"/>
  <c r="O360" i="18"/>
  <c r="P360" i="18"/>
  <c r="L361" i="18"/>
  <c r="L359" i="18" s="1"/>
  <c r="M361" i="18"/>
  <c r="N361" i="18"/>
  <c r="O363" i="18"/>
  <c r="P363" i="18"/>
  <c r="L364" i="18"/>
  <c r="L362" i="18" s="1"/>
  <c r="O362" i="18" s="1"/>
  <c r="M364" i="18"/>
  <c r="M362" i="18" s="1"/>
  <c r="P362" i="18" s="1"/>
  <c r="N364" i="18"/>
  <c r="N362" i="18" s="1"/>
  <c r="J367" i="18"/>
  <c r="K367" i="18"/>
  <c r="I368" i="18"/>
  <c r="J368" i="18"/>
  <c r="I369" i="18"/>
  <c r="J369" i="18"/>
  <c r="J370" i="18"/>
  <c r="K370" i="18"/>
  <c r="I371" i="18"/>
  <c r="I365" i="18" s="1"/>
  <c r="J371" i="18"/>
  <c r="J365" i="18" s="1"/>
  <c r="J372" i="18"/>
  <c r="K372" i="18"/>
  <c r="D373" i="18"/>
  <c r="I376" i="18"/>
  <c r="J376" i="18"/>
  <c r="K376" i="18"/>
  <c r="L378" i="18"/>
  <c r="O378" i="18" s="1"/>
  <c r="M378" i="18"/>
  <c r="N378" i="18"/>
  <c r="O381" i="18"/>
  <c r="P381" i="18"/>
  <c r="L382" i="18"/>
  <c r="M382" i="18"/>
  <c r="P382" i="18" s="1"/>
  <c r="N382" i="18"/>
  <c r="N380" i="18" s="1"/>
  <c r="O384" i="18"/>
  <c r="P384" i="18"/>
  <c r="L385" i="18"/>
  <c r="L383" i="18" s="1"/>
  <c r="O383" i="18" s="1"/>
  <c r="M385" i="18"/>
  <c r="P385" i="18" s="1"/>
  <c r="N385" i="18"/>
  <c r="N383" i="18" s="1"/>
  <c r="K387" i="18"/>
  <c r="K388" i="18"/>
  <c r="A391" i="18"/>
  <c r="L22" i="17"/>
  <c r="M22" i="17"/>
  <c r="N22" i="17"/>
  <c r="O22" i="17"/>
  <c r="P22" i="17"/>
  <c r="L25" i="17"/>
  <c r="L19" i="17" s="1"/>
  <c r="O19" i="17" s="1"/>
  <c r="M25" i="17"/>
  <c r="M19" i="17" s="1"/>
  <c r="N25" i="17"/>
  <c r="L45" i="17"/>
  <c r="M45" i="17"/>
  <c r="P45" i="17" s="1"/>
  <c r="N45" i="17"/>
  <c r="O45" i="17"/>
  <c r="O48" i="17"/>
  <c r="P48" i="17"/>
  <c r="L49" i="17"/>
  <c r="L47" i="17" s="1"/>
  <c r="M49" i="17"/>
  <c r="N49" i="17"/>
  <c r="N47" i="17" s="1"/>
  <c r="O51" i="17"/>
  <c r="P51" i="17"/>
  <c r="L52" i="17"/>
  <c r="O52" i="17" s="1"/>
  <c r="M52" i="17"/>
  <c r="P52" i="17" s="1"/>
  <c r="N52" i="17"/>
  <c r="N50" i="17" s="1"/>
  <c r="L60" i="17"/>
  <c r="O60" i="17" s="1"/>
  <c r="M60" i="17"/>
  <c r="P60" i="17" s="1"/>
  <c r="N60" i="17"/>
  <c r="O63" i="17"/>
  <c r="P63" i="17"/>
  <c r="L64" i="17"/>
  <c r="L62" i="17" s="1"/>
  <c r="M64" i="17"/>
  <c r="N64" i="17"/>
  <c r="N62" i="17" s="1"/>
  <c r="O66" i="17"/>
  <c r="P66" i="17"/>
  <c r="L67" i="17"/>
  <c r="O67" i="17" s="1"/>
  <c r="M67" i="17"/>
  <c r="P67" i="17" s="1"/>
  <c r="N67" i="17"/>
  <c r="N65" i="17" s="1"/>
  <c r="L73" i="17"/>
  <c r="O73" i="17" s="1"/>
  <c r="M73" i="17"/>
  <c r="P73" i="17" s="1"/>
  <c r="N73" i="17"/>
  <c r="O76" i="17"/>
  <c r="P76" i="17"/>
  <c r="L77" i="17"/>
  <c r="L75" i="17" s="1"/>
  <c r="M77" i="17"/>
  <c r="N77" i="17"/>
  <c r="O79" i="17"/>
  <c r="P79" i="17"/>
  <c r="L80" i="17"/>
  <c r="O80" i="17" s="1"/>
  <c r="M80" i="17"/>
  <c r="M78" i="17" s="1"/>
  <c r="P78" i="17" s="1"/>
  <c r="N80" i="17"/>
  <c r="N78" i="17" s="1"/>
  <c r="J82" i="17"/>
  <c r="J70" i="17" s="1"/>
  <c r="J83" i="17"/>
  <c r="J71" i="17" s="1"/>
  <c r="I84" i="17"/>
  <c r="K84" i="17" s="1"/>
  <c r="I85" i="17"/>
  <c r="K85" i="17" s="1"/>
  <c r="I86" i="17"/>
  <c r="K86" i="17" s="1"/>
  <c r="I87" i="17"/>
  <c r="I88" i="17"/>
  <c r="K88" i="17" s="1"/>
  <c r="I89" i="17"/>
  <c r="K89" i="17" s="1"/>
  <c r="I90" i="17"/>
  <c r="K90" i="17" s="1"/>
  <c r="J92" i="17"/>
  <c r="J93" i="17"/>
  <c r="L95" i="17"/>
  <c r="M95" i="17"/>
  <c r="N95" i="17"/>
  <c r="O95" i="17"/>
  <c r="P95" i="17"/>
  <c r="O98" i="17"/>
  <c r="P98" i="17"/>
  <c r="L99" i="17"/>
  <c r="L97" i="17" s="1"/>
  <c r="O97" i="17" s="1"/>
  <c r="M99" i="17"/>
  <c r="N99" i="17"/>
  <c r="O101" i="17"/>
  <c r="P101" i="17"/>
  <c r="L102" i="17"/>
  <c r="L100" i="17" s="1"/>
  <c r="O100" i="17" s="1"/>
  <c r="M102" i="17"/>
  <c r="M100" i="17" s="1"/>
  <c r="P100" i="17" s="1"/>
  <c r="N102" i="17"/>
  <c r="N100" i="17" s="1"/>
  <c r="I108" i="17"/>
  <c r="I92" i="17" s="1"/>
  <c r="K92" i="17" s="1"/>
  <c r="I109" i="17"/>
  <c r="I117" i="17"/>
  <c r="K117" i="17" s="1"/>
  <c r="L126" i="17"/>
  <c r="O126" i="17" s="1"/>
  <c r="M126" i="17"/>
  <c r="P126" i="17" s="1"/>
  <c r="N126" i="17"/>
  <c r="O129" i="17"/>
  <c r="P129" i="17"/>
  <c r="L130" i="17"/>
  <c r="L128" i="17" s="1"/>
  <c r="O128" i="17" s="1"/>
  <c r="M130" i="17"/>
  <c r="M128" i="17" s="1"/>
  <c r="P128" i="17" s="1"/>
  <c r="N130" i="17"/>
  <c r="N128" i="17" s="1"/>
  <c r="O132" i="17"/>
  <c r="P132" i="17"/>
  <c r="L133" i="17"/>
  <c r="L131" i="17" s="1"/>
  <c r="O131" i="17" s="1"/>
  <c r="M133" i="17"/>
  <c r="M131" i="17" s="1"/>
  <c r="P131" i="17" s="1"/>
  <c r="N133" i="17"/>
  <c r="N131" i="17" s="1"/>
  <c r="J136" i="17"/>
  <c r="J137" i="17"/>
  <c r="J138" i="17"/>
  <c r="L140" i="17"/>
  <c r="M140" i="17"/>
  <c r="P140" i="17" s="1"/>
  <c r="N140" i="17"/>
  <c r="O143" i="17"/>
  <c r="P143" i="17"/>
  <c r="L144" i="17"/>
  <c r="L142" i="17" s="1"/>
  <c r="O142" i="17" s="1"/>
  <c r="M144" i="17"/>
  <c r="M142" i="17" s="1"/>
  <c r="P142" i="17" s="1"/>
  <c r="N144" i="17"/>
  <c r="N142" i="17" s="1"/>
  <c r="O146" i="17"/>
  <c r="P146" i="17"/>
  <c r="L147" i="17"/>
  <c r="L145" i="17" s="1"/>
  <c r="O145" i="17" s="1"/>
  <c r="M147" i="17"/>
  <c r="P147" i="17" s="1"/>
  <c r="N147" i="17"/>
  <c r="N145" i="17" s="1"/>
  <c r="I150" i="17"/>
  <c r="K150" i="17" s="1"/>
  <c r="I151" i="17"/>
  <c r="K151" i="17" s="1"/>
  <c r="I152" i="17"/>
  <c r="I137" i="17" s="1"/>
  <c r="K137" i="17" s="1"/>
  <c r="I153" i="17"/>
  <c r="I138" i="17" s="1"/>
  <c r="K138" i="17" s="1"/>
  <c r="I154" i="17"/>
  <c r="J156" i="17"/>
  <c r="L158" i="17"/>
  <c r="O158" i="17" s="1"/>
  <c r="M158" i="17"/>
  <c r="P158" i="17" s="1"/>
  <c r="N158" i="17"/>
  <c r="O161" i="17"/>
  <c r="P161" i="17"/>
  <c r="L162" i="17"/>
  <c r="L160" i="17" s="1"/>
  <c r="M162" i="17"/>
  <c r="N162" i="17"/>
  <c r="N160" i="17" s="1"/>
  <c r="O164" i="17"/>
  <c r="P164" i="17"/>
  <c r="L165" i="17"/>
  <c r="L163" i="17" s="1"/>
  <c r="O163" i="17" s="1"/>
  <c r="M165" i="17"/>
  <c r="M163" i="17" s="1"/>
  <c r="P163" i="17" s="1"/>
  <c r="N165" i="17"/>
  <c r="N163" i="17" s="1"/>
  <c r="I167" i="17"/>
  <c r="I168" i="17" s="1"/>
  <c r="K168" i="17" s="1"/>
  <c r="J172" i="17"/>
  <c r="L174" i="17"/>
  <c r="M174" i="17"/>
  <c r="P174" i="17" s="1"/>
  <c r="N174" i="17"/>
  <c r="O174" i="17"/>
  <c r="O177" i="17"/>
  <c r="P177" i="17"/>
  <c r="L178" i="17"/>
  <c r="M178" i="17"/>
  <c r="N178" i="17"/>
  <c r="O180" i="17"/>
  <c r="P180" i="17"/>
  <c r="L181" i="17"/>
  <c r="L179" i="17" s="1"/>
  <c r="O179" i="17" s="1"/>
  <c r="M181" i="17"/>
  <c r="M179" i="17" s="1"/>
  <c r="P179" i="17" s="1"/>
  <c r="N181" i="17"/>
  <c r="N179" i="17" s="1"/>
  <c r="I183" i="17"/>
  <c r="I172" i="17" s="1"/>
  <c r="K172" i="17" s="1"/>
  <c r="K184" i="17"/>
  <c r="L187" i="17"/>
  <c r="O187" i="17" s="1"/>
  <c r="M187" i="17"/>
  <c r="N187" i="17"/>
  <c r="P187" i="17"/>
  <c r="O190" i="17"/>
  <c r="P190" i="17"/>
  <c r="L191" i="17"/>
  <c r="L189" i="17" s="1"/>
  <c r="M191" i="17"/>
  <c r="M189" i="17" s="1"/>
  <c r="N191" i="17"/>
  <c r="N189" i="17" s="1"/>
  <c r="O193" i="17"/>
  <c r="P193" i="17"/>
  <c r="L194" i="17"/>
  <c r="L192" i="17" s="1"/>
  <c r="O192" i="17" s="1"/>
  <c r="M194" i="17"/>
  <c r="P194" i="17" s="1"/>
  <c r="N194" i="17"/>
  <c r="N192" i="17" s="1"/>
  <c r="J195" i="17"/>
  <c r="L196" i="17"/>
  <c r="O196" i="17" s="1"/>
  <c r="P196" i="17"/>
  <c r="I198" i="17"/>
  <c r="I195" i="17" s="1"/>
  <c r="K195" i="17" s="1"/>
  <c r="J199" i="17"/>
  <c r="J202" i="17"/>
  <c r="N203" i="17"/>
  <c r="P203" i="17"/>
  <c r="L204" i="17"/>
  <c r="L205" i="17"/>
  <c r="L206" i="17"/>
  <c r="L207" i="17"/>
  <c r="I209" i="17"/>
  <c r="K209" i="17" s="1"/>
  <c r="I211" i="17"/>
  <c r="K211" i="17" s="1"/>
  <c r="I212" i="17"/>
  <c r="K212" i="17" s="1"/>
  <c r="J213" i="17"/>
  <c r="N214" i="17"/>
  <c r="P214" i="17"/>
  <c r="L215" i="17"/>
  <c r="L216" i="17"/>
  <c r="L217" i="17"/>
  <c r="I219" i="17"/>
  <c r="K219" i="17" s="1"/>
  <c r="I220" i="17"/>
  <c r="I213" i="17" s="1"/>
  <c r="K213" i="17" s="1"/>
  <c r="J221" i="17"/>
  <c r="N222" i="17"/>
  <c r="P222" i="17"/>
  <c r="L223" i="17"/>
  <c r="L224" i="17"/>
  <c r="L225" i="17"/>
  <c r="I228" i="17"/>
  <c r="K228" i="17" s="1"/>
  <c r="I229" i="17"/>
  <c r="K229" i="17" s="1"/>
  <c r="I230" i="17"/>
  <c r="K230" i="17" s="1"/>
  <c r="N233" i="17"/>
  <c r="N234" i="17"/>
  <c r="N235" i="17"/>
  <c r="N236" i="17"/>
  <c r="J238" i="17"/>
  <c r="I240" i="17"/>
  <c r="K240" i="17" s="1"/>
  <c r="J240" i="17"/>
  <c r="I241" i="17"/>
  <c r="K241" i="17" s="1"/>
  <c r="J241" i="17"/>
  <c r="J242" i="17"/>
  <c r="N243" i="17"/>
  <c r="P243" i="17"/>
  <c r="L244" i="17"/>
  <c r="L245" i="17"/>
  <c r="L246" i="17"/>
  <c r="L247" i="17"/>
  <c r="I249" i="17"/>
  <c r="K249" i="17" s="1"/>
  <c r="K251" i="17"/>
  <c r="K252" i="17"/>
  <c r="J253" i="17"/>
  <c r="N254" i="17"/>
  <c r="N232" i="17" s="1"/>
  <c r="P254" i="17"/>
  <c r="L255" i="17"/>
  <c r="L256" i="17"/>
  <c r="L257" i="17"/>
  <c r="L258" i="17"/>
  <c r="I260" i="17"/>
  <c r="K260" i="17" s="1"/>
  <c r="K262" i="17"/>
  <c r="K263" i="17"/>
  <c r="I265" i="17"/>
  <c r="K265" i="17" s="1"/>
  <c r="J265" i="17"/>
  <c r="L267" i="17"/>
  <c r="O267" i="17" s="1"/>
  <c r="M267" i="17"/>
  <c r="P267" i="17" s="1"/>
  <c r="N267" i="17"/>
  <c r="O270" i="17"/>
  <c r="P270" i="17"/>
  <c r="L271" i="17"/>
  <c r="L269" i="17" s="1"/>
  <c r="O269" i="17" s="1"/>
  <c r="M271" i="17"/>
  <c r="P271" i="17" s="1"/>
  <c r="N271" i="17"/>
  <c r="N269" i="17" s="1"/>
  <c r="O273" i="17"/>
  <c r="P273" i="17"/>
  <c r="L274" i="17"/>
  <c r="L272" i="17" s="1"/>
  <c r="O272" i="17" s="1"/>
  <c r="M274" i="17"/>
  <c r="P274" i="17" s="1"/>
  <c r="N274" i="17"/>
  <c r="N272" i="17" s="1"/>
  <c r="J281" i="17"/>
  <c r="L283" i="17"/>
  <c r="O283" i="17" s="1"/>
  <c r="M283" i="17"/>
  <c r="P283" i="17" s="1"/>
  <c r="N283" i="17"/>
  <c r="O286" i="17"/>
  <c r="P286" i="17"/>
  <c r="L287" i="17"/>
  <c r="L285" i="17" s="1"/>
  <c r="O285" i="17" s="1"/>
  <c r="M287" i="17"/>
  <c r="N287" i="17"/>
  <c r="N285" i="17" s="1"/>
  <c r="O289" i="17"/>
  <c r="P289" i="17"/>
  <c r="L290" i="17"/>
  <c r="L288" i="17" s="1"/>
  <c r="O288" i="17" s="1"/>
  <c r="M290" i="17"/>
  <c r="M288" i="17" s="1"/>
  <c r="P288" i="17" s="1"/>
  <c r="N290" i="17"/>
  <c r="N288" i="17" s="1"/>
  <c r="I292" i="17"/>
  <c r="I281" i="17" s="1"/>
  <c r="K281" i="17" s="1"/>
  <c r="I293" i="17"/>
  <c r="K293" i="17" s="1"/>
  <c r="J293" i="17"/>
  <c r="J280" i="17" s="1"/>
  <c r="I295" i="17"/>
  <c r="K295" i="17" s="1"/>
  <c r="I296" i="17"/>
  <c r="K296" i="17" s="1"/>
  <c r="J302" i="17"/>
  <c r="L304" i="17"/>
  <c r="O304" i="17" s="1"/>
  <c r="M304" i="17"/>
  <c r="N304" i="17"/>
  <c r="O307" i="17"/>
  <c r="P307" i="17"/>
  <c r="L308" i="17"/>
  <c r="M308" i="17"/>
  <c r="M306" i="17" s="1"/>
  <c r="N308" i="17"/>
  <c r="N306" i="17" s="1"/>
  <c r="O310" i="17"/>
  <c r="P310" i="17"/>
  <c r="L311" i="17"/>
  <c r="L309" i="17" s="1"/>
  <c r="O309" i="17" s="1"/>
  <c r="M311" i="17"/>
  <c r="P311" i="17" s="1"/>
  <c r="N311" i="17"/>
  <c r="N309" i="17" s="1"/>
  <c r="I314" i="17"/>
  <c r="K314" i="17" s="1"/>
  <c r="I315" i="17"/>
  <c r="K315" i="17" s="1"/>
  <c r="I316" i="17"/>
  <c r="K316" i="17" s="1"/>
  <c r="I317" i="17"/>
  <c r="K317" i="17" s="1"/>
  <c r="J319" i="17"/>
  <c r="L321" i="17"/>
  <c r="O321" i="17" s="1"/>
  <c r="M321" i="17"/>
  <c r="N321" i="17"/>
  <c r="P321" i="17"/>
  <c r="O324" i="17"/>
  <c r="P324" i="17"/>
  <c r="L325" i="17"/>
  <c r="L323" i="17" s="1"/>
  <c r="O323" i="17" s="1"/>
  <c r="M325" i="17"/>
  <c r="M323" i="17" s="1"/>
  <c r="P323" i="17" s="1"/>
  <c r="N325" i="17"/>
  <c r="O327" i="17"/>
  <c r="P327" i="17"/>
  <c r="L328" i="17"/>
  <c r="L326" i="17" s="1"/>
  <c r="O326" i="17" s="1"/>
  <c r="M328" i="17"/>
  <c r="M326" i="17" s="1"/>
  <c r="P326" i="17" s="1"/>
  <c r="N328" i="17"/>
  <c r="N326" i="17" s="1"/>
  <c r="I330" i="17"/>
  <c r="I319" i="17" s="1"/>
  <c r="K319" i="17" s="1"/>
  <c r="L334" i="17"/>
  <c r="M334" i="17"/>
  <c r="P334" i="17" s="1"/>
  <c r="N334" i="17"/>
  <c r="O337" i="17"/>
  <c r="P337" i="17"/>
  <c r="L338" i="17"/>
  <c r="L336" i="17" s="1"/>
  <c r="M338" i="17"/>
  <c r="M336" i="17" s="1"/>
  <c r="N338" i="17"/>
  <c r="O340" i="17"/>
  <c r="P340" i="17"/>
  <c r="L341" i="17"/>
  <c r="L339" i="17" s="1"/>
  <c r="O339" i="17" s="1"/>
  <c r="M341" i="17"/>
  <c r="M339" i="17" s="1"/>
  <c r="P339" i="17" s="1"/>
  <c r="N341" i="17"/>
  <c r="I344" i="17"/>
  <c r="J344" i="17"/>
  <c r="I346" i="17"/>
  <c r="J346" i="17"/>
  <c r="J347" i="17"/>
  <c r="J348" i="17"/>
  <c r="J349" i="17"/>
  <c r="D350" i="17"/>
  <c r="J352" i="17"/>
  <c r="J353" i="17"/>
  <c r="D354" i="17"/>
  <c r="L357" i="17"/>
  <c r="O357" i="17" s="1"/>
  <c r="M357" i="17"/>
  <c r="N357" i="17"/>
  <c r="O360" i="17"/>
  <c r="P360" i="17"/>
  <c r="L361" i="17"/>
  <c r="M361" i="17"/>
  <c r="M359" i="17" s="1"/>
  <c r="N361" i="17"/>
  <c r="N359" i="17" s="1"/>
  <c r="O363" i="17"/>
  <c r="P363" i="17"/>
  <c r="L364" i="17"/>
  <c r="O364" i="17" s="1"/>
  <c r="M364" i="17"/>
  <c r="P364" i="17" s="1"/>
  <c r="N364" i="17"/>
  <c r="N362" i="17" s="1"/>
  <c r="J367" i="17"/>
  <c r="K367" i="17"/>
  <c r="I368" i="17"/>
  <c r="J368" i="17"/>
  <c r="I369" i="17"/>
  <c r="J369" i="17"/>
  <c r="J370" i="17"/>
  <c r="K370" i="17"/>
  <c r="I371" i="17"/>
  <c r="J371" i="17"/>
  <c r="J365" i="17" s="1"/>
  <c r="J372" i="17"/>
  <c r="K372" i="17"/>
  <c r="D373" i="17"/>
  <c r="I376" i="17"/>
  <c r="K376" i="17" s="1"/>
  <c r="J376" i="17"/>
  <c r="L378" i="17"/>
  <c r="M378" i="17"/>
  <c r="P378" i="17" s="1"/>
  <c r="N378" i="17"/>
  <c r="O381" i="17"/>
  <c r="P381" i="17"/>
  <c r="L382" i="17"/>
  <c r="L380" i="17" s="1"/>
  <c r="O380" i="17" s="1"/>
  <c r="M382" i="17"/>
  <c r="M380" i="17" s="1"/>
  <c r="P380" i="17" s="1"/>
  <c r="N382" i="17"/>
  <c r="N380" i="17" s="1"/>
  <c r="O384" i="17"/>
  <c r="P384" i="17"/>
  <c r="L385" i="17"/>
  <c r="O385" i="17" s="1"/>
  <c r="M385" i="17"/>
  <c r="M383" i="17" s="1"/>
  <c r="P383" i="17" s="1"/>
  <c r="N385" i="17"/>
  <c r="N383" i="17" s="1"/>
  <c r="K387" i="17"/>
  <c r="K388" i="17"/>
  <c r="A391" i="17"/>
  <c r="L22" i="16"/>
  <c r="L19" i="16" s="1"/>
  <c r="M22" i="16"/>
  <c r="M19" i="16" s="1"/>
  <c r="N22" i="16"/>
  <c r="L25" i="16"/>
  <c r="M25" i="16"/>
  <c r="N25" i="16"/>
  <c r="N19" i="16" s="1"/>
  <c r="L45" i="16"/>
  <c r="M45" i="16"/>
  <c r="N45" i="16"/>
  <c r="P45" i="16"/>
  <c r="O48" i="16"/>
  <c r="P48" i="16"/>
  <c r="L49" i="16"/>
  <c r="L47" i="16" s="1"/>
  <c r="M49" i="16"/>
  <c r="M47" i="16" s="1"/>
  <c r="N49" i="16"/>
  <c r="N47" i="16" s="1"/>
  <c r="O51" i="16"/>
  <c r="P51" i="16"/>
  <c r="L52" i="16"/>
  <c r="O52" i="16" s="1"/>
  <c r="M52" i="16"/>
  <c r="M50" i="16" s="1"/>
  <c r="P50" i="16" s="1"/>
  <c r="N52" i="16"/>
  <c r="N50" i="16" s="1"/>
  <c r="L60" i="16"/>
  <c r="O60" i="16" s="1"/>
  <c r="M60" i="16"/>
  <c r="N60" i="16"/>
  <c r="O63" i="16"/>
  <c r="P63" i="16"/>
  <c r="L64" i="16"/>
  <c r="L62" i="16" s="1"/>
  <c r="M64" i="16"/>
  <c r="M62" i="16" s="1"/>
  <c r="N64" i="16"/>
  <c r="O66" i="16"/>
  <c r="P66" i="16"/>
  <c r="L67" i="16"/>
  <c r="L65" i="16" s="1"/>
  <c r="O65" i="16" s="1"/>
  <c r="M67" i="16"/>
  <c r="M65" i="16" s="1"/>
  <c r="P65" i="16" s="1"/>
  <c r="N67" i="16"/>
  <c r="N65" i="16" s="1"/>
  <c r="J71" i="16"/>
  <c r="L73" i="16"/>
  <c r="M73" i="16"/>
  <c r="P73" i="16" s="1"/>
  <c r="N73" i="16"/>
  <c r="O76" i="16"/>
  <c r="P76" i="16"/>
  <c r="L77" i="16"/>
  <c r="M77" i="16"/>
  <c r="M75" i="16" s="1"/>
  <c r="P75" i="16" s="1"/>
  <c r="N77" i="16"/>
  <c r="N75" i="16" s="1"/>
  <c r="O79" i="16"/>
  <c r="P79" i="16"/>
  <c r="L80" i="16"/>
  <c r="O80" i="16" s="1"/>
  <c r="M80" i="16"/>
  <c r="M78" i="16" s="1"/>
  <c r="P78" i="16" s="1"/>
  <c r="N80" i="16"/>
  <c r="N78" i="16" s="1"/>
  <c r="J82" i="16"/>
  <c r="J70" i="16" s="1"/>
  <c r="J83" i="16"/>
  <c r="I84" i="16"/>
  <c r="K84" i="16" s="1"/>
  <c r="I85" i="16"/>
  <c r="I86" i="16"/>
  <c r="K86" i="16" s="1"/>
  <c r="I87" i="16"/>
  <c r="K87" i="16" s="1"/>
  <c r="I88" i="16"/>
  <c r="K88" i="16" s="1"/>
  <c r="I89" i="16"/>
  <c r="K89" i="16" s="1"/>
  <c r="I90" i="16"/>
  <c r="K90" i="16" s="1"/>
  <c r="J92" i="16"/>
  <c r="J93" i="16"/>
  <c r="L95" i="16"/>
  <c r="M95" i="16"/>
  <c r="N95" i="16"/>
  <c r="O98" i="16"/>
  <c r="P98" i="16"/>
  <c r="L99" i="16"/>
  <c r="M99" i="16"/>
  <c r="M97" i="16" s="1"/>
  <c r="P97" i="16" s="1"/>
  <c r="N99" i="16"/>
  <c r="N97" i="16" s="1"/>
  <c r="O101" i="16"/>
  <c r="P101" i="16"/>
  <c r="L102" i="16"/>
  <c r="M102" i="16"/>
  <c r="P102" i="16" s="1"/>
  <c r="N102" i="16"/>
  <c r="N100" i="16" s="1"/>
  <c r="I108" i="16"/>
  <c r="I92" i="16" s="1"/>
  <c r="K92" i="16" s="1"/>
  <c r="I109" i="16"/>
  <c r="K109" i="16" s="1"/>
  <c r="I117" i="16"/>
  <c r="K117" i="16" s="1"/>
  <c r="L126" i="16"/>
  <c r="M126" i="16"/>
  <c r="P126" i="16" s="1"/>
  <c r="N126" i="16"/>
  <c r="O126" i="16"/>
  <c r="O129" i="16"/>
  <c r="P129" i="16"/>
  <c r="L130" i="16"/>
  <c r="M130" i="16"/>
  <c r="M128" i="16" s="1"/>
  <c r="P128" i="16" s="1"/>
  <c r="N130" i="16"/>
  <c r="O132" i="16"/>
  <c r="P132" i="16"/>
  <c r="L133" i="16"/>
  <c r="O133" i="16" s="1"/>
  <c r="M133" i="16"/>
  <c r="M131" i="16" s="1"/>
  <c r="P131" i="16" s="1"/>
  <c r="N133" i="16"/>
  <c r="N131" i="16" s="1"/>
  <c r="J136" i="16"/>
  <c r="J137" i="16"/>
  <c r="J138" i="16"/>
  <c r="L140" i="16"/>
  <c r="M140" i="16"/>
  <c r="N140" i="16"/>
  <c r="O140" i="16"/>
  <c r="P140" i="16"/>
  <c r="O143" i="16"/>
  <c r="P143" i="16"/>
  <c r="L144" i="16"/>
  <c r="L142" i="16" s="1"/>
  <c r="M144" i="16"/>
  <c r="M142" i="16" s="1"/>
  <c r="N144" i="16"/>
  <c r="O146" i="16"/>
  <c r="P146" i="16"/>
  <c r="L147" i="16"/>
  <c r="L145" i="16" s="1"/>
  <c r="O145" i="16" s="1"/>
  <c r="M147" i="16"/>
  <c r="M145" i="16" s="1"/>
  <c r="P145" i="16" s="1"/>
  <c r="N147" i="16"/>
  <c r="N145" i="16" s="1"/>
  <c r="I150" i="16"/>
  <c r="K150" i="16" s="1"/>
  <c r="I151" i="16"/>
  <c r="K151" i="16" s="1"/>
  <c r="I152" i="16"/>
  <c r="I153" i="16"/>
  <c r="I138" i="16" s="1"/>
  <c r="K138" i="16" s="1"/>
  <c r="I154" i="16"/>
  <c r="K154" i="16" s="1"/>
  <c r="J156" i="16"/>
  <c r="L158" i="16"/>
  <c r="M158" i="16"/>
  <c r="P158" i="16" s="1"/>
  <c r="N158" i="16"/>
  <c r="O161" i="16"/>
  <c r="P161" i="16"/>
  <c r="L162" i="16"/>
  <c r="M162" i="16"/>
  <c r="P162" i="16" s="1"/>
  <c r="N162" i="16"/>
  <c r="N160" i="16" s="1"/>
  <c r="O164" i="16"/>
  <c r="P164" i="16"/>
  <c r="L165" i="16"/>
  <c r="O165" i="16" s="1"/>
  <c r="M165" i="16"/>
  <c r="P165" i="16" s="1"/>
  <c r="N165" i="16"/>
  <c r="N163" i="16" s="1"/>
  <c r="I167" i="16"/>
  <c r="I169" i="16" s="1"/>
  <c r="K169" i="16" s="1"/>
  <c r="J172" i="16"/>
  <c r="L174" i="16"/>
  <c r="M174" i="16"/>
  <c r="N174" i="16"/>
  <c r="P174" i="16"/>
  <c r="O177" i="16"/>
  <c r="P177" i="16"/>
  <c r="L178" i="16"/>
  <c r="M178" i="16"/>
  <c r="M176" i="16" s="1"/>
  <c r="N178" i="16"/>
  <c r="N176" i="16" s="1"/>
  <c r="O180" i="16"/>
  <c r="P180" i="16"/>
  <c r="L181" i="16"/>
  <c r="O181" i="16" s="1"/>
  <c r="M181" i="16"/>
  <c r="P181" i="16" s="1"/>
  <c r="N181" i="16"/>
  <c r="N179" i="16" s="1"/>
  <c r="I183" i="16"/>
  <c r="K183" i="16" s="1"/>
  <c r="K184" i="16"/>
  <c r="L187" i="16"/>
  <c r="M187" i="16"/>
  <c r="N187" i="16"/>
  <c r="O187" i="16"/>
  <c r="O190" i="16"/>
  <c r="P190" i="16"/>
  <c r="L191" i="16"/>
  <c r="L189" i="16" s="1"/>
  <c r="M191" i="16"/>
  <c r="N191" i="16"/>
  <c r="N189" i="16" s="1"/>
  <c r="O193" i="16"/>
  <c r="P193" i="16"/>
  <c r="L194" i="16"/>
  <c r="L192" i="16" s="1"/>
  <c r="O192" i="16" s="1"/>
  <c r="M194" i="16"/>
  <c r="M192" i="16" s="1"/>
  <c r="P192" i="16" s="1"/>
  <c r="N194" i="16"/>
  <c r="N192" i="16" s="1"/>
  <c r="J195" i="16"/>
  <c r="L196" i="16"/>
  <c r="O196" i="16" s="1"/>
  <c r="P196" i="16"/>
  <c r="I198" i="16"/>
  <c r="K198" i="16" s="1"/>
  <c r="J199" i="16"/>
  <c r="J202" i="16"/>
  <c r="N203" i="16"/>
  <c r="P203" i="16"/>
  <c r="L204" i="16"/>
  <c r="L205" i="16"/>
  <c r="L206" i="16"/>
  <c r="L207" i="16"/>
  <c r="I209" i="16"/>
  <c r="I202" i="16" s="1"/>
  <c r="K202" i="16" s="1"/>
  <c r="I211" i="16"/>
  <c r="K211" i="16" s="1"/>
  <c r="I212" i="16"/>
  <c r="K212" i="16" s="1"/>
  <c r="J213" i="16"/>
  <c r="N214" i="16"/>
  <c r="P214" i="16"/>
  <c r="L215" i="16"/>
  <c r="L216" i="16"/>
  <c r="L217" i="16"/>
  <c r="I219" i="16"/>
  <c r="K219" i="16" s="1"/>
  <c r="I220" i="16"/>
  <c r="I213" i="16" s="1"/>
  <c r="K213" i="16" s="1"/>
  <c r="J221" i="16"/>
  <c r="N222" i="16"/>
  <c r="P222" i="16"/>
  <c r="L223" i="16"/>
  <c r="L224" i="16"/>
  <c r="L225" i="16"/>
  <c r="I228" i="16"/>
  <c r="K228" i="16" s="1"/>
  <c r="I229" i="16"/>
  <c r="I221" i="16" s="1"/>
  <c r="I230" i="16"/>
  <c r="K230" i="16" s="1"/>
  <c r="N233" i="16"/>
  <c r="N234" i="16"/>
  <c r="N235" i="16"/>
  <c r="N236" i="16"/>
  <c r="J238" i="16"/>
  <c r="I240" i="16"/>
  <c r="K240" i="16" s="1"/>
  <c r="J240" i="16"/>
  <c r="I241" i="16"/>
  <c r="J241" i="16"/>
  <c r="K241" i="16"/>
  <c r="J242" i="16"/>
  <c r="N243" i="16"/>
  <c r="P243" i="16"/>
  <c r="L244" i="16"/>
  <c r="L245" i="16"/>
  <c r="L246" i="16"/>
  <c r="L247" i="16"/>
  <c r="I249" i="16"/>
  <c r="K251" i="16"/>
  <c r="K252" i="16"/>
  <c r="J253" i="16"/>
  <c r="N254" i="16"/>
  <c r="P254" i="16"/>
  <c r="L255" i="16"/>
  <c r="L256" i="16"/>
  <c r="L257" i="16"/>
  <c r="L258" i="16"/>
  <c r="I260" i="16"/>
  <c r="K260" i="16" s="1"/>
  <c r="K262" i="16"/>
  <c r="K263" i="16"/>
  <c r="I265" i="16"/>
  <c r="K265" i="16" s="1"/>
  <c r="J265" i="16"/>
  <c r="L267" i="16"/>
  <c r="M267" i="16"/>
  <c r="N267" i="16"/>
  <c r="O267" i="16"/>
  <c r="O270" i="16"/>
  <c r="P270" i="16"/>
  <c r="L271" i="16"/>
  <c r="L269" i="16" s="1"/>
  <c r="O269" i="16" s="1"/>
  <c r="M271" i="16"/>
  <c r="M269" i="16" s="1"/>
  <c r="P269" i="16" s="1"/>
  <c r="N271" i="16"/>
  <c r="N269" i="16" s="1"/>
  <c r="O273" i="16"/>
  <c r="P273" i="16"/>
  <c r="L274" i="16"/>
  <c r="L272" i="16" s="1"/>
  <c r="O272" i="16" s="1"/>
  <c r="M274" i="16"/>
  <c r="M272" i="16" s="1"/>
  <c r="P272" i="16" s="1"/>
  <c r="N274" i="16"/>
  <c r="N272" i="16" s="1"/>
  <c r="J281" i="16"/>
  <c r="L283" i="16"/>
  <c r="O283" i="16" s="1"/>
  <c r="M283" i="16"/>
  <c r="N283" i="16"/>
  <c r="P283" i="16"/>
  <c r="O286" i="16"/>
  <c r="P286" i="16"/>
  <c r="L287" i="16"/>
  <c r="L285" i="16" s="1"/>
  <c r="O285" i="16" s="1"/>
  <c r="M287" i="16"/>
  <c r="P287" i="16" s="1"/>
  <c r="N287" i="16"/>
  <c r="N285" i="16" s="1"/>
  <c r="O289" i="16"/>
  <c r="P289" i="16"/>
  <c r="L290" i="16"/>
  <c r="O290" i="16" s="1"/>
  <c r="M290" i="16"/>
  <c r="P290" i="16" s="1"/>
  <c r="N290" i="16"/>
  <c r="N288" i="16" s="1"/>
  <c r="I292" i="16"/>
  <c r="I281" i="16" s="1"/>
  <c r="K281" i="16" s="1"/>
  <c r="I293" i="16"/>
  <c r="I280" i="16" s="1"/>
  <c r="K280" i="16" s="1"/>
  <c r="J293" i="16"/>
  <c r="J280" i="16" s="1"/>
  <c r="I295" i="16"/>
  <c r="K295" i="16" s="1"/>
  <c r="I296" i="16"/>
  <c r="K296" i="16" s="1"/>
  <c r="J302" i="16"/>
  <c r="L304" i="16"/>
  <c r="M304" i="16"/>
  <c r="N304" i="16"/>
  <c r="O304" i="16"/>
  <c r="P304" i="16"/>
  <c r="O307" i="16"/>
  <c r="P307" i="16"/>
  <c r="L308" i="16"/>
  <c r="L306" i="16" s="1"/>
  <c r="O306" i="16" s="1"/>
  <c r="M308" i="16"/>
  <c r="N308" i="16"/>
  <c r="N306" i="16" s="1"/>
  <c r="O310" i="16"/>
  <c r="P310" i="16"/>
  <c r="L311" i="16"/>
  <c r="L309" i="16" s="1"/>
  <c r="O309" i="16" s="1"/>
  <c r="M311" i="16"/>
  <c r="M309" i="16" s="1"/>
  <c r="P309" i="16" s="1"/>
  <c r="N311" i="16"/>
  <c r="N309" i="16" s="1"/>
  <c r="I314" i="16"/>
  <c r="K314" i="16" s="1"/>
  <c r="I315" i="16"/>
  <c r="K315" i="16" s="1"/>
  <c r="I316" i="16"/>
  <c r="K316" i="16" s="1"/>
  <c r="I317" i="16"/>
  <c r="K317" i="16" s="1"/>
  <c r="J319" i="16"/>
  <c r="L321" i="16"/>
  <c r="O321" i="16" s="1"/>
  <c r="M321" i="16"/>
  <c r="P321" i="16" s="1"/>
  <c r="N321" i="16"/>
  <c r="O324" i="16"/>
  <c r="P324" i="16"/>
  <c r="L325" i="16"/>
  <c r="L323" i="16" s="1"/>
  <c r="O323" i="16" s="1"/>
  <c r="M325" i="16"/>
  <c r="N325" i="16"/>
  <c r="O327" i="16"/>
  <c r="P327" i="16"/>
  <c r="L328" i="16"/>
  <c r="L326" i="16" s="1"/>
  <c r="O326" i="16" s="1"/>
  <c r="M328" i="16"/>
  <c r="P328" i="16" s="1"/>
  <c r="N328" i="16"/>
  <c r="N326" i="16" s="1"/>
  <c r="I330" i="16"/>
  <c r="I319" i="16" s="1"/>
  <c r="K319" i="16" s="1"/>
  <c r="L334" i="16"/>
  <c r="O334" i="16" s="1"/>
  <c r="M334" i="16"/>
  <c r="P334" i="16" s="1"/>
  <c r="N334" i="16"/>
  <c r="O337" i="16"/>
  <c r="P337" i="16"/>
  <c r="L338" i="16"/>
  <c r="M338" i="16"/>
  <c r="M336" i="16" s="1"/>
  <c r="N338" i="16"/>
  <c r="N336" i="16" s="1"/>
  <c r="O340" i="16"/>
  <c r="P340" i="16"/>
  <c r="L341" i="16"/>
  <c r="L339" i="16" s="1"/>
  <c r="O339" i="16" s="1"/>
  <c r="M341" i="16"/>
  <c r="P341" i="16" s="1"/>
  <c r="N341" i="16"/>
  <c r="N339" i="16" s="1"/>
  <c r="I344" i="16"/>
  <c r="I332" i="16" s="1"/>
  <c r="J344" i="16"/>
  <c r="I346" i="16"/>
  <c r="J346" i="16"/>
  <c r="J347" i="16"/>
  <c r="J348" i="16"/>
  <c r="J349" i="16"/>
  <c r="D350" i="16"/>
  <c r="J352" i="16"/>
  <c r="J353" i="16"/>
  <c r="D354" i="16"/>
  <c r="L357" i="16"/>
  <c r="M357" i="16"/>
  <c r="P357" i="16" s="1"/>
  <c r="N357" i="16"/>
  <c r="O360" i="16"/>
  <c r="P360" i="16"/>
  <c r="L361" i="16"/>
  <c r="L359" i="16" s="1"/>
  <c r="M361" i="16"/>
  <c r="N361" i="16"/>
  <c r="N359" i="16" s="1"/>
  <c r="O363" i="16"/>
  <c r="P363" i="16"/>
  <c r="L364" i="16"/>
  <c r="L362" i="16" s="1"/>
  <c r="O362" i="16" s="1"/>
  <c r="M364" i="16"/>
  <c r="P364" i="16" s="1"/>
  <c r="N364" i="16"/>
  <c r="N362" i="16" s="1"/>
  <c r="J367" i="16"/>
  <c r="K367" i="16"/>
  <c r="I368" i="16"/>
  <c r="J368" i="16"/>
  <c r="I369" i="16"/>
  <c r="J369" i="16"/>
  <c r="J370" i="16"/>
  <c r="K370" i="16"/>
  <c r="I371" i="16"/>
  <c r="I365" i="16" s="1"/>
  <c r="J371" i="16"/>
  <c r="J372" i="16"/>
  <c r="K372" i="16"/>
  <c r="D373" i="16"/>
  <c r="I376" i="16"/>
  <c r="K376" i="16" s="1"/>
  <c r="J376" i="16"/>
  <c r="L378" i="16"/>
  <c r="O378" i="16" s="1"/>
  <c r="M378" i="16"/>
  <c r="N378" i="16"/>
  <c r="O381" i="16"/>
  <c r="P381" i="16"/>
  <c r="L382" i="16"/>
  <c r="O382" i="16" s="1"/>
  <c r="M382" i="16"/>
  <c r="M380" i="16" s="1"/>
  <c r="P380" i="16" s="1"/>
  <c r="N382" i="16"/>
  <c r="N380" i="16" s="1"/>
  <c r="O384" i="16"/>
  <c r="P384" i="16"/>
  <c r="L385" i="16"/>
  <c r="O385" i="16" s="1"/>
  <c r="M385" i="16"/>
  <c r="P385" i="16" s="1"/>
  <c r="N385" i="16"/>
  <c r="N383" i="16" s="1"/>
  <c r="K387" i="16"/>
  <c r="K388" i="16"/>
  <c r="A391" i="16"/>
  <c r="L22" i="15"/>
  <c r="L19" i="15" s="1"/>
  <c r="M22" i="15"/>
  <c r="M19" i="15" s="1"/>
  <c r="N22" i="15"/>
  <c r="L25" i="15"/>
  <c r="M25" i="15"/>
  <c r="N25" i="15"/>
  <c r="P25" i="15"/>
  <c r="L45" i="15"/>
  <c r="M45" i="15"/>
  <c r="N45" i="15"/>
  <c r="P45" i="15"/>
  <c r="O48" i="15"/>
  <c r="P48" i="15"/>
  <c r="L49" i="15"/>
  <c r="M49" i="15"/>
  <c r="N49" i="15"/>
  <c r="N47" i="15" s="1"/>
  <c r="O51" i="15"/>
  <c r="P51" i="15"/>
  <c r="L52" i="15"/>
  <c r="L50" i="15" s="1"/>
  <c r="O50" i="15" s="1"/>
  <c r="M52" i="15"/>
  <c r="N52" i="15"/>
  <c r="L60" i="15"/>
  <c r="M60" i="15"/>
  <c r="N60" i="15"/>
  <c r="O60" i="15"/>
  <c r="O63" i="15"/>
  <c r="P63" i="15"/>
  <c r="L64" i="15"/>
  <c r="M64" i="15"/>
  <c r="N64" i="15"/>
  <c r="N62" i="15" s="1"/>
  <c r="O66" i="15"/>
  <c r="P66" i="15"/>
  <c r="L67" i="15"/>
  <c r="O67" i="15" s="1"/>
  <c r="M67" i="15"/>
  <c r="P67" i="15" s="1"/>
  <c r="N67" i="15"/>
  <c r="N65" i="15" s="1"/>
  <c r="J70" i="15"/>
  <c r="L73" i="15"/>
  <c r="O73" i="15" s="1"/>
  <c r="M73" i="15"/>
  <c r="P73" i="15" s="1"/>
  <c r="N73" i="15"/>
  <c r="O76" i="15"/>
  <c r="P76" i="15"/>
  <c r="L77" i="15"/>
  <c r="M77" i="15"/>
  <c r="N77" i="15"/>
  <c r="O79" i="15"/>
  <c r="P79" i="15"/>
  <c r="L80" i="15"/>
  <c r="O80" i="15" s="1"/>
  <c r="M80" i="15"/>
  <c r="N80" i="15"/>
  <c r="N78" i="15" s="1"/>
  <c r="J82" i="15"/>
  <c r="J83" i="15"/>
  <c r="J71" i="15" s="1"/>
  <c r="I84" i="15"/>
  <c r="K84" i="15" s="1"/>
  <c r="I85" i="15"/>
  <c r="K85" i="15" s="1"/>
  <c r="I86" i="15"/>
  <c r="K86" i="15" s="1"/>
  <c r="I87" i="15"/>
  <c r="K87" i="15" s="1"/>
  <c r="I88" i="15"/>
  <c r="K88" i="15" s="1"/>
  <c r="I89" i="15"/>
  <c r="K89" i="15" s="1"/>
  <c r="I90" i="15"/>
  <c r="K90" i="15" s="1"/>
  <c r="J92" i="15"/>
  <c r="J93" i="15"/>
  <c r="L95" i="15"/>
  <c r="O95" i="15" s="1"/>
  <c r="M95" i="15"/>
  <c r="P95" i="15" s="1"/>
  <c r="N95" i="15"/>
  <c r="O98" i="15"/>
  <c r="P98" i="15"/>
  <c r="L99" i="15"/>
  <c r="L97" i="15" s="1"/>
  <c r="O97" i="15" s="1"/>
  <c r="M99" i="15"/>
  <c r="M97" i="15" s="1"/>
  <c r="P97" i="15" s="1"/>
  <c r="N99" i="15"/>
  <c r="N97" i="15" s="1"/>
  <c r="O101" i="15"/>
  <c r="P101" i="15"/>
  <c r="L102" i="15"/>
  <c r="L100" i="15" s="1"/>
  <c r="O100" i="15" s="1"/>
  <c r="M102" i="15"/>
  <c r="P102" i="15" s="1"/>
  <c r="N102" i="15"/>
  <c r="N100" i="15" s="1"/>
  <c r="I108" i="15"/>
  <c r="K108" i="15" s="1"/>
  <c r="I109" i="15"/>
  <c r="I93" i="15" s="1"/>
  <c r="K93" i="15" s="1"/>
  <c r="I117" i="15"/>
  <c r="K117" i="15" s="1"/>
  <c r="L126" i="15"/>
  <c r="M126" i="15"/>
  <c r="P126" i="15" s="1"/>
  <c r="N126" i="15"/>
  <c r="O129" i="15"/>
  <c r="P129" i="15"/>
  <c r="L130" i="15"/>
  <c r="M130" i="15"/>
  <c r="P130" i="15" s="1"/>
  <c r="N130" i="15"/>
  <c r="N128" i="15" s="1"/>
  <c r="O132" i="15"/>
  <c r="P132" i="15"/>
  <c r="L133" i="15"/>
  <c r="L131" i="15" s="1"/>
  <c r="O131" i="15" s="1"/>
  <c r="M133" i="15"/>
  <c r="P133" i="15" s="1"/>
  <c r="N133" i="15"/>
  <c r="N131" i="15" s="1"/>
  <c r="J136" i="15"/>
  <c r="J137" i="15"/>
  <c r="J138" i="15"/>
  <c r="L140" i="15"/>
  <c r="M140" i="15"/>
  <c r="N140" i="15"/>
  <c r="P140" i="15"/>
  <c r="O143" i="15"/>
  <c r="P143" i="15"/>
  <c r="L144" i="15"/>
  <c r="M144" i="15"/>
  <c r="P144" i="15" s="1"/>
  <c r="N144" i="15"/>
  <c r="N142" i="15" s="1"/>
  <c r="O146" i="15"/>
  <c r="P146" i="15"/>
  <c r="L147" i="15"/>
  <c r="L145" i="15" s="1"/>
  <c r="O145" i="15" s="1"/>
  <c r="M147" i="15"/>
  <c r="P147" i="15" s="1"/>
  <c r="N147" i="15"/>
  <c r="N145" i="15" s="1"/>
  <c r="I150" i="15"/>
  <c r="K150" i="15" s="1"/>
  <c r="I151" i="15"/>
  <c r="K151" i="15" s="1"/>
  <c r="I152" i="15"/>
  <c r="I153" i="15"/>
  <c r="K153" i="15" s="1"/>
  <c r="I154" i="15"/>
  <c r="K154" i="15" s="1"/>
  <c r="J156" i="15"/>
  <c r="L158" i="15"/>
  <c r="O158" i="15" s="1"/>
  <c r="M158" i="15"/>
  <c r="N158" i="15"/>
  <c r="O161" i="15"/>
  <c r="P161" i="15"/>
  <c r="L162" i="15"/>
  <c r="O162" i="15" s="1"/>
  <c r="M162" i="15"/>
  <c r="P162" i="15" s="1"/>
  <c r="N162" i="15"/>
  <c r="N160" i="15" s="1"/>
  <c r="O164" i="15"/>
  <c r="P164" i="15"/>
  <c r="L165" i="15"/>
  <c r="M165" i="15"/>
  <c r="P165" i="15" s="1"/>
  <c r="N165" i="15"/>
  <c r="N163" i="15" s="1"/>
  <c r="I167" i="15"/>
  <c r="K167" i="15" s="1"/>
  <c r="I168" i="15"/>
  <c r="K168" i="15" s="1"/>
  <c r="I169" i="15"/>
  <c r="K169" i="15" s="1"/>
  <c r="J172" i="15"/>
  <c r="L174" i="15"/>
  <c r="O174" i="15" s="1"/>
  <c r="M174" i="15"/>
  <c r="N174" i="15"/>
  <c r="O177" i="15"/>
  <c r="P177" i="15"/>
  <c r="L178" i="15"/>
  <c r="M178" i="15"/>
  <c r="N178" i="15"/>
  <c r="N176" i="15" s="1"/>
  <c r="O180" i="15"/>
  <c r="P180" i="15"/>
  <c r="L181" i="15"/>
  <c r="M181" i="15"/>
  <c r="P181" i="15" s="1"/>
  <c r="N181" i="15"/>
  <c r="N179" i="15" s="1"/>
  <c r="I183" i="15"/>
  <c r="I172" i="15" s="1"/>
  <c r="K172" i="15" s="1"/>
  <c r="K184" i="15"/>
  <c r="L187" i="15"/>
  <c r="M187" i="15"/>
  <c r="P187" i="15" s="1"/>
  <c r="N187" i="15"/>
  <c r="O187" i="15"/>
  <c r="O190" i="15"/>
  <c r="P190" i="15"/>
  <c r="L191" i="15"/>
  <c r="M191" i="15"/>
  <c r="M189" i="15" s="1"/>
  <c r="N191" i="15"/>
  <c r="N189" i="15" s="1"/>
  <c r="O193" i="15"/>
  <c r="P193" i="15"/>
  <c r="L194" i="15"/>
  <c r="L192" i="15" s="1"/>
  <c r="O192" i="15" s="1"/>
  <c r="M194" i="15"/>
  <c r="P194" i="15" s="1"/>
  <c r="N194" i="15"/>
  <c r="N192" i="15" s="1"/>
  <c r="J195" i="15"/>
  <c r="L196" i="15"/>
  <c r="O196" i="15" s="1"/>
  <c r="P196" i="15"/>
  <c r="I198" i="15"/>
  <c r="I195" i="15" s="1"/>
  <c r="K195" i="15" s="1"/>
  <c r="J199" i="15"/>
  <c r="J202" i="15"/>
  <c r="N203" i="15"/>
  <c r="P203" i="15"/>
  <c r="L204" i="15"/>
  <c r="L205" i="15"/>
  <c r="L206" i="15"/>
  <c r="L207" i="15"/>
  <c r="I209" i="15"/>
  <c r="I202" i="15" s="1"/>
  <c r="K202" i="15" s="1"/>
  <c r="I211" i="15"/>
  <c r="K211" i="15" s="1"/>
  <c r="I212" i="15"/>
  <c r="K212" i="15" s="1"/>
  <c r="J213" i="15"/>
  <c r="N214" i="15"/>
  <c r="P214" i="15"/>
  <c r="L215" i="15"/>
  <c r="L216" i="15"/>
  <c r="L217" i="15"/>
  <c r="I219" i="15"/>
  <c r="K219" i="15" s="1"/>
  <c r="I220" i="15"/>
  <c r="I213" i="15" s="1"/>
  <c r="K213" i="15" s="1"/>
  <c r="J221" i="15"/>
  <c r="N222" i="15"/>
  <c r="P222" i="15"/>
  <c r="L223" i="15"/>
  <c r="L224" i="15"/>
  <c r="L225" i="15"/>
  <c r="I228" i="15"/>
  <c r="K228" i="15" s="1"/>
  <c r="I229" i="15"/>
  <c r="I221" i="15" s="1"/>
  <c r="I230" i="15"/>
  <c r="N233" i="15"/>
  <c r="N234" i="15"/>
  <c r="N235" i="15"/>
  <c r="N236" i="15"/>
  <c r="J238" i="15"/>
  <c r="J240" i="15"/>
  <c r="J241" i="15"/>
  <c r="J242" i="15"/>
  <c r="N243" i="15"/>
  <c r="N232" i="15" s="1"/>
  <c r="P243" i="15"/>
  <c r="L244" i="15"/>
  <c r="L245" i="15"/>
  <c r="L246" i="15"/>
  <c r="L247" i="15"/>
  <c r="I249" i="15"/>
  <c r="I251" i="15"/>
  <c r="K251" i="15" s="1"/>
  <c r="I252" i="15"/>
  <c r="I241" i="15" s="1"/>
  <c r="J253" i="15"/>
  <c r="N254" i="15"/>
  <c r="P254" i="15"/>
  <c r="L255" i="15"/>
  <c r="L256" i="15"/>
  <c r="L257" i="15"/>
  <c r="L258" i="15"/>
  <c r="I260" i="15"/>
  <c r="I253" i="15" s="1"/>
  <c r="K253" i="15" s="1"/>
  <c r="K262" i="15"/>
  <c r="K263" i="15"/>
  <c r="I265" i="15"/>
  <c r="K265" i="15" s="1"/>
  <c r="J265" i="15"/>
  <c r="L267" i="15"/>
  <c r="O267" i="15" s="1"/>
  <c r="M267" i="15"/>
  <c r="P267" i="15" s="1"/>
  <c r="N267" i="15"/>
  <c r="O270" i="15"/>
  <c r="P270" i="15"/>
  <c r="L271" i="15"/>
  <c r="L269" i="15" s="1"/>
  <c r="O269" i="15" s="1"/>
  <c r="M271" i="15"/>
  <c r="M269" i="15" s="1"/>
  <c r="P269" i="15" s="1"/>
  <c r="N271" i="15"/>
  <c r="N269" i="15" s="1"/>
  <c r="O273" i="15"/>
  <c r="P273" i="15"/>
  <c r="L274" i="15"/>
  <c r="L272" i="15" s="1"/>
  <c r="O272" i="15" s="1"/>
  <c r="M274" i="15"/>
  <c r="P274" i="15" s="1"/>
  <c r="N274" i="15"/>
  <c r="N272" i="15" s="1"/>
  <c r="J281" i="15"/>
  <c r="L283" i="15"/>
  <c r="O283" i="15" s="1"/>
  <c r="M283" i="15"/>
  <c r="N283" i="15"/>
  <c r="P283" i="15"/>
  <c r="O286" i="15"/>
  <c r="P286" i="15"/>
  <c r="L287" i="15"/>
  <c r="M287" i="15"/>
  <c r="N287" i="15"/>
  <c r="N285" i="15" s="1"/>
  <c r="O289" i="15"/>
  <c r="P289" i="15"/>
  <c r="L290" i="15"/>
  <c r="L288" i="15" s="1"/>
  <c r="O288" i="15" s="1"/>
  <c r="M290" i="15"/>
  <c r="P290" i="15" s="1"/>
  <c r="N290" i="15"/>
  <c r="N288" i="15" s="1"/>
  <c r="I292" i="15"/>
  <c r="I281" i="15" s="1"/>
  <c r="K281" i="15" s="1"/>
  <c r="I293" i="15"/>
  <c r="I280" i="15" s="1"/>
  <c r="K280" i="15" s="1"/>
  <c r="J293" i="15"/>
  <c r="J280" i="15" s="1"/>
  <c r="I295" i="15"/>
  <c r="K295" i="15" s="1"/>
  <c r="I296" i="15"/>
  <c r="K296" i="15" s="1"/>
  <c r="J302" i="15"/>
  <c r="L304" i="15"/>
  <c r="M304" i="15"/>
  <c r="P304" i="15" s="1"/>
  <c r="N304" i="15"/>
  <c r="O307" i="15"/>
  <c r="P307" i="15"/>
  <c r="L308" i="15"/>
  <c r="L306" i="15" s="1"/>
  <c r="M308" i="15"/>
  <c r="M306" i="15" s="1"/>
  <c r="N308" i="15"/>
  <c r="O310" i="15"/>
  <c r="P310" i="15"/>
  <c r="L311" i="15"/>
  <c r="L309" i="15" s="1"/>
  <c r="O309" i="15" s="1"/>
  <c r="M311" i="15"/>
  <c r="P311" i="15" s="1"/>
  <c r="N311" i="15"/>
  <c r="N309" i="15" s="1"/>
  <c r="I314" i="15"/>
  <c r="I302" i="15" s="1"/>
  <c r="K302" i="15" s="1"/>
  <c r="I315" i="15"/>
  <c r="K315" i="15" s="1"/>
  <c r="I316" i="15"/>
  <c r="K316" i="15" s="1"/>
  <c r="I317" i="15"/>
  <c r="K317" i="15" s="1"/>
  <c r="J319" i="15"/>
  <c r="L321" i="15"/>
  <c r="M321" i="15"/>
  <c r="N321" i="15"/>
  <c r="O321" i="15"/>
  <c r="O324" i="15"/>
  <c r="P324" i="15"/>
  <c r="L325" i="15"/>
  <c r="O325" i="15" s="1"/>
  <c r="M325" i="15"/>
  <c r="M323" i="15" s="1"/>
  <c r="P323" i="15" s="1"/>
  <c r="N325" i="15"/>
  <c r="N323" i="15" s="1"/>
  <c r="O327" i="15"/>
  <c r="P327" i="15"/>
  <c r="L328" i="15"/>
  <c r="O328" i="15" s="1"/>
  <c r="M328" i="15"/>
  <c r="P328" i="15" s="1"/>
  <c r="N328" i="15"/>
  <c r="N326" i="15" s="1"/>
  <c r="I330" i="15"/>
  <c r="I319" i="15" s="1"/>
  <c r="K319" i="15" s="1"/>
  <c r="L334" i="15"/>
  <c r="M334" i="15"/>
  <c r="P334" i="15" s="1"/>
  <c r="N334" i="15"/>
  <c r="O334" i="15"/>
  <c r="O337" i="15"/>
  <c r="P337" i="15"/>
  <c r="L338" i="15"/>
  <c r="L336" i="15" s="1"/>
  <c r="M338" i="15"/>
  <c r="N338" i="15"/>
  <c r="O340" i="15"/>
  <c r="P340" i="15"/>
  <c r="L341" i="15"/>
  <c r="L339" i="15" s="1"/>
  <c r="O339" i="15" s="1"/>
  <c r="M341" i="15"/>
  <c r="P341" i="15" s="1"/>
  <c r="N341" i="15"/>
  <c r="N339" i="15" s="1"/>
  <c r="I344" i="15"/>
  <c r="I332" i="15" s="1"/>
  <c r="J344" i="15"/>
  <c r="I346" i="15"/>
  <c r="J346" i="15"/>
  <c r="J347" i="15"/>
  <c r="J348" i="15"/>
  <c r="J349" i="15"/>
  <c r="D350" i="15"/>
  <c r="J352" i="15"/>
  <c r="J353" i="15"/>
  <c r="D354" i="15"/>
  <c r="L357" i="15"/>
  <c r="O357" i="15" s="1"/>
  <c r="M357" i="15"/>
  <c r="N357" i="15"/>
  <c r="O360" i="15"/>
  <c r="P360" i="15"/>
  <c r="L361" i="15"/>
  <c r="L359" i="15" s="1"/>
  <c r="M361" i="15"/>
  <c r="N361" i="15"/>
  <c r="O363" i="15"/>
  <c r="P363" i="15"/>
  <c r="L364" i="15"/>
  <c r="L362" i="15" s="1"/>
  <c r="O362" i="15" s="1"/>
  <c r="M364" i="15"/>
  <c r="P364" i="15" s="1"/>
  <c r="N364" i="15"/>
  <c r="N362" i="15" s="1"/>
  <c r="J367" i="15"/>
  <c r="K367" i="15"/>
  <c r="I368" i="15"/>
  <c r="J368" i="15"/>
  <c r="I369" i="15"/>
  <c r="J369" i="15"/>
  <c r="J370" i="15"/>
  <c r="K370" i="15"/>
  <c r="I371" i="15"/>
  <c r="I365" i="15" s="1"/>
  <c r="J371" i="15"/>
  <c r="J365" i="15" s="1"/>
  <c r="J372" i="15"/>
  <c r="K372" i="15"/>
  <c r="D373" i="15"/>
  <c r="I376" i="15"/>
  <c r="J376" i="15"/>
  <c r="K376" i="15"/>
  <c r="L378" i="15"/>
  <c r="M378" i="15"/>
  <c r="P378" i="15" s="1"/>
  <c r="N378" i="15"/>
  <c r="O381" i="15"/>
  <c r="P381" i="15"/>
  <c r="L382" i="15"/>
  <c r="O382" i="15" s="1"/>
  <c r="M382" i="15"/>
  <c r="P382" i="15" s="1"/>
  <c r="N382" i="15"/>
  <c r="N380" i="15" s="1"/>
  <c r="O384" i="15"/>
  <c r="P384" i="15"/>
  <c r="L385" i="15"/>
  <c r="O385" i="15" s="1"/>
  <c r="M385" i="15"/>
  <c r="P385" i="15" s="1"/>
  <c r="N385" i="15"/>
  <c r="N383" i="15" s="1"/>
  <c r="K387" i="15"/>
  <c r="K388" i="15"/>
  <c r="A391" i="15"/>
  <c r="L22" i="14"/>
  <c r="O22" i="14" s="1"/>
  <c r="M22" i="14"/>
  <c r="N22" i="14"/>
  <c r="N19" i="14" s="1"/>
  <c r="L25" i="14"/>
  <c r="M25" i="14"/>
  <c r="P25" i="14" s="1"/>
  <c r="N25" i="14"/>
  <c r="L45" i="14"/>
  <c r="O45" i="14" s="1"/>
  <c r="M45" i="14"/>
  <c r="N45" i="14"/>
  <c r="P45" i="14"/>
  <c r="O48" i="14"/>
  <c r="P48" i="14"/>
  <c r="L49" i="14"/>
  <c r="L47" i="14" s="1"/>
  <c r="M49" i="14"/>
  <c r="N49" i="14"/>
  <c r="N47" i="14" s="1"/>
  <c r="O51" i="14"/>
  <c r="P51" i="14"/>
  <c r="L52" i="14"/>
  <c r="L50" i="14" s="1"/>
  <c r="O50" i="14" s="1"/>
  <c r="M52" i="14"/>
  <c r="P52" i="14" s="1"/>
  <c r="N52" i="14"/>
  <c r="L60" i="14"/>
  <c r="O60" i="14" s="1"/>
  <c r="M60" i="14"/>
  <c r="N60" i="14"/>
  <c r="O63" i="14"/>
  <c r="P63" i="14"/>
  <c r="L64" i="14"/>
  <c r="M64" i="14"/>
  <c r="M62" i="14" s="1"/>
  <c r="N64" i="14"/>
  <c r="O66" i="14"/>
  <c r="P66" i="14"/>
  <c r="L67" i="14"/>
  <c r="O67" i="14" s="1"/>
  <c r="M67" i="14"/>
  <c r="M65" i="14" s="1"/>
  <c r="P65" i="14" s="1"/>
  <c r="N67" i="14"/>
  <c r="N65" i="14" s="1"/>
  <c r="J70" i="14"/>
  <c r="L73" i="14"/>
  <c r="O73" i="14" s="1"/>
  <c r="M73" i="14"/>
  <c r="P73" i="14" s="1"/>
  <c r="N73" i="14"/>
  <c r="O76" i="14"/>
  <c r="P76" i="14"/>
  <c r="L77" i="14"/>
  <c r="L75" i="14" s="1"/>
  <c r="O75" i="14" s="1"/>
  <c r="M77" i="14"/>
  <c r="M75" i="14" s="1"/>
  <c r="P75" i="14" s="1"/>
  <c r="N77" i="14"/>
  <c r="N75" i="14" s="1"/>
  <c r="O79" i="14"/>
  <c r="P79" i="14"/>
  <c r="L80" i="14"/>
  <c r="L78" i="14" s="1"/>
  <c r="O78" i="14" s="1"/>
  <c r="M80" i="14"/>
  <c r="P80" i="14" s="1"/>
  <c r="N80" i="14"/>
  <c r="N78" i="14" s="1"/>
  <c r="J82" i="14"/>
  <c r="J83" i="14"/>
  <c r="J71" i="14" s="1"/>
  <c r="I84" i="14"/>
  <c r="K84" i="14" s="1"/>
  <c r="I85" i="14"/>
  <c r="K85" i="14" s="1"/>
  <c r="I86" i="14"/>
  <c r="K86" i="14" s="1"/>
  <c r="I87" i="14"/>
  <c r="I88" i="14"/>
  <c r="K88" i="14" s="1"/>
  <c r="I89" i="14"/>
  <c r="K89" i="14" s="1"/>
  <c r="I90" i="14"/>
  <c r="K90" i="14" s="1"/>
  <c r="J92" i="14"/>
  <c r="J93" i="14"/>
  <c r="L95" i="14"/>
  <c r="O95" i="14" s="1"/>
  <c r="M95" i="14"/>
  <c r="P95" i="14" s="1"/>
  <c r="N95" i="14"/>
  <c r="O98" i="14"/>
  <c r="P98" i="14"/>
  <c r="L99" i="14"/>
  <c r="M99" i="14"/>
  <c r="M97" i="14" s="1"/>
  <c r="P97" i="14" s="1"/>
  <c r="N99" i="14"/>
  <c r="O101" i="14"/>
  <c r="P101" i="14"/>
  <c r="L102" i="14"/>
  <c r="M102" i="14"/>
  <c r="M100" i="14" s="1"/>
  <c r="P100" i="14" s="1"/>
  <c r="N102" i="14"/>
  <c r="N100" i="14" s="1"/>
  <c r="I108" i="14"/>
  <c r="I92" i="14" s="1"/>
  <c r="K92" i="14" s="1"/>
  <c r="I109" i="14"/>
  <c r="K109" i="14" s="1"/>
  <c r="I117" i="14"/>
  <c r="K117" i="14" s="1"/>
  <c r="L126" i="14"/>
  <c r="M126" i="14"/>
  <c r="N126" i="14"/>
  <c r="P126" i="14"/>
  <c r="O129" i="14"/>
  <c r="P129" i="14"/>
  <c r="L130" i="14"/>
  <c r="L128" i="14" s="1"/>
  <c r="O128" i="14" s="1"/>
  <c r="M130" i="14"/>
  <c r="N130" i="14"/>
  <c r="N128" i="14" s="1"/>
  <c r="O132" i="14"/>
  <c r="P132" i="14"/>
  <c r="L133" i="14"/>
  <c r="L131" i="14" s="1"/>
  <c r="O131" i="14" s="1"/>
  <c r="M133" i="14"/>
  <c r="N133" i="14"/>
  <c r="N131" i="14" s="1"/>
  <c r="J136" i="14"/>
  <c r="J137" i="14"/>
  <c r="J138" i="14"/>
  <c r="L140" i="14"/>
  <c r="M140" i="14"/>
  <c r="P140" i="14" s="1"/>
  <c r="N140" i="14"/>
  <c r="O143" i="14"/>
  <c r="P143" i="14"/>
  <c r="L144" i="14"/>
  <c r="L142" i="14" s="1"/>
  <c r="M144" i="14"/>
  <c r="N144" i="14"/>
  <c r="O146" i="14"/>
  <c r="P146" i="14"/>
  <c r="L147" i="14"/>
  <c r="L145" i="14" s="1"/>
  <c r="O145" i="14" s="1"/>
  <c r="M147" i="14"/>
  <c r="P147" i="14" s="1"/>
  <c r="N147" i="14"/>
  <c r="N145" i="14" s="1"/>
  <c r="I150" i="14"/>
  <c r="K150" i="14" s="1"/>
  <c r="I151" i="14"/>
  <c r="K151" i="14" s="1"/>
  <c r="I152" i="14"/>
  <c r="I153" i="14"/>
  <c r="I138" i="14" s="1"/>
  <c r="K138" i="14" s="1"/>
  <c r="I154" i="14"/>
  <c r="J156" i="14"/>
  <c r="L158" i="14"/>
  <c r="O158" i="14" s="1"/>
  <c r="M158" i="14"/>
  <c r="P158" i="14" s="1"/>
  <c r="N158" i="14"/>
  <c r="O161" i="14"/>
  <c r="P161" i="14"/>
  <c r="L162" i="14"/>
  <c r="L160" i="14" s="1"/>
  <c r="M162" i="14"/>
  <c r="N162" i="14"/>
  <c r="N160" i="14" s="1"/>
  <c r="O164" i="14"/>
  <c r="P164" i="14"/>
  <c r="L165" i="14"/>
  <c r="L163" i="14" s="1"/>
  <c r="O163" i="14" s="1"/>
  <c r="M165" i="14"/>
  <c r="P165" i="14" s="1"/>
  <c r="N165" i="14"/>
  <c r="N163" i="14" s="1"/>
  <c r="I167" i="14"/>
  <c r="I169" i="14" s="1"/>
  <c r="K169" i="14" s="1"/>
  <c r="J172" i="14"/>
  <c r="L174" i="14"/>
  <c r="O174" i="14" s="1"/>
  <c r="M174" i="14"/>
  <c r="N174" i="14"/>
  <c r="P174" i="14"/>
  <c r="O177" i="14"/>
  <c r="P177" i="14"/>
  <c r="L178" i="14"/>
  <c r="L176" i="14" s="1"/>
  <c r="M178" i="14"/>
  <c r="N178" i="14"/>
  <c r="N176" i="14" s="1"/>
  <c r="O180" i="14"/>
  <c r="P180" i="14"/>
  <c r="L181" i="14"/>
  <c r="L179" i="14" s="1"/>
  <c r="O179" i="14" s="1"/>
  <c r="M181" i="14"/>
  <c r="P181" i="14" s="1"/>
  <c r="N181" i="14"/>
  <c r="N179" i="14" s="1"/>
  <c r="I183" i="14"/>
  <c r="K183" i="14" s="1"/>
  <c r="K184" i="14"/>
  <c r="L187" i="14"/>
  <c r="M187" i="14"/>
  <c r="N187" i="14"/>
  <c r="O187" i="14"/>
  <c r="P187" i="14"/>
  <c r="O190" i="14"/>
  <c r="P190" i="14"/>
  <c r="L191" i="14"/>
  <c r="L189" i="14" s="1"/>
  <c r="M191" i="14"/>
  <c r="N191" i="14"/>
  <c r="O193" i="14"/>
  <c r="P193" i="14"/>
  <c r="L194" i="14"/>
  <c r="O194" i="14" s="1"/>
  <c r="M194" i="14"/>
  <c r="M192" i="14" s="1"/>
  <c r="P192" i="14" s="1"/>
  <c r="N194" i="14"/>
  <c r="N192" i="14" s="1"/>
  <c r="J195" i="14"/>
  <c r="L196" i="14"/>
  <c r="O196" i="14" s="1"/>
  <c r="P196" i="14"/>
  <c r="I198" i="14"/>
  <c r="K198" i="14" s="1"/>
  <c r="J199" i="14"/>
  <c r="J202" i="14"/>
  <c r="N203" i="14"/>
  <c r="P203" i="14"/>
  <c r="L204" i="14"/>
  <c r="L205" i="14"/>
  <c r="L206" i="14"/>
  <c r="L207" i="14"/>
  <c r="I209" i="14"/>
  <c r="K209" i="14" s="1"/>
  <c r="I211" i="14"/>
  <c r="K211" i="14" s="1"/>
  <c r="I212" i="14"/>
  <c r="K212" i="14" s="1"/>
  <c r="J213" i="14"/>
  <c r="N214" i="14"/>
  <c r="P214" i="14"/>
  <c r="L215" i="14"/>
  <c r="L216" i="14"/>
  <c r="L217" i="14"/>
  <c r="I219" i="14"/>
  <c r="K219" i="14" s="1"/>
  <c r="I220" i="14"/>
  <c r="I213" i="14" s="1"/>
  <c r="K213" i="14" s="1"/>
  <c r="J221" i="14"/>
  <c r="N222" i="14"/>
  <c r="P222" i="14"/>
  <c r="L223" i="14"/>
  <c r="L224" i="14"/>
  <c r="L225" i="14"/>
  <c r="I228" i="14"/>
  <c r="K228" i="14" s="1"/>
  <c r="I229" i="14"/>
  <c r="I221" i="14" s="1"/>
  <c r="I230" i="14"/>
  <c r="K230" i="14" s="1"/>
  <c r="N233" i="14"/>
  <c r="N234" i="14"/>
  <c r="N235" i="14"/>
  <c r="N236" i="14"/>
  <c r="J238" i="14"/>
  <c r="I240" i="14"/>
  <c r="K240" i="14" s="1"/>
  <c r="J240" i="14"/>
  <c r="I241" i="14"/>
  <c r="K241" i="14" s="1"/>
  <c r="J241" i="14"/>
  <c r="J242" i="14"/>
  <c r="N243" i="14"/>
  <c r="P243" i="14"/>
  <c r="L244" i="14"/>
  <c r="L245" i="14"/>
  <c r="L246" i="14"/>
  <c r="L247" i="14"/>
  <c r="I249" i="14"/>
  <c r="K249" i="14" s="1"/>
  <c r="K251" i="14"/>
  <c r="K252" i="14"/>
  <c r="J253" i="14"/>
  <c r="N254" i="14"/>
  <c r="N232" i="14" s="1"/>
  <c r="P254" i="14"/>
  <c r="L255" i="14"/>
  <c r="L256" i="14"/>
  <c r="L257" i="14"/>
  <c r="L258" i="14"/>
  <c r="I260" i="14"/>
  <c r="K260" i="14" s="1"/>
  <c r="K262" i="14"/>
  <c r="K263" i="14"/>
  <c r="I265" i="14"/>
  <c r="K265" i="14" s="1"/>
  <c r="J265" i="14"/>
  <c r="L267" i="14"/>
  <c r="O267" i="14" s="1"/>
  <c r="M267" i="14"/>
  <c r="P267" i="14" s="1"/>
  <c r="N267" i="14"/>
  <c r="O270" i="14"/>
  <c r="P270" i="14"/>
  <c r="L271" i="14"/>
  <c r="L269" i="14" s="1"/>
  <c r="O269" i="14" s="1"/>
  <c r="M271" i="14"/>
  <c r="N271" i="14"/>
  <c r="N269" i="14" s="1"/>
  <c r="O273" i="14"/>
  <c r="P273" i="14"/>
  <c r="L274" i="14"/>
  <c r="L272" i="14" s="1"/>
  <c r="O272" i="14" s="1"/>
  <c r="M274" i="14"/>
  <c r="M272" i="14" s="1"/>
  <c r="P272" i="14" s="1"/>
  <c r="N274" i="14"/>
  <c r="N272" i="14" s="1"/>
  <c r="J281" i="14"/>
  <c r="L283" i="14"/>
  <c r="O283" i="14" s="1"/>
  <c r="M283" i="14"/>
  <c r="P283" i="14" s="1"/>
  <c r="N283" i="14"/>
  <c r="O286" i="14"/>
  <c r="P286" i="14"/>
  <c r="L287" i="14"/>
  <c r="L285" i="14" s="1"/>
  <c r="O285" i="14" s="1"/>
  <c r="M287" i="14"/>
  <c r="N287" i="14"/>
  <c r="N285" i="14" s="1"/>
  <c r="O289" i="14"/>
  <c r="P289" i="14"/>
  <c r="L290" i="14"/>
  <c r="L288" i="14" s="1"/>
  <c r="O288" i="14" s="1"/>
  <c r="M290" i="14"/>
  <c r="P290" i="14" s="1"/>
  <c r="N290" i="14"/>
  <c r="N288" i="14" s="1"/>
  <c r="I292" i="14"/>
  <c r="I281" i="14" s="1"/>
  <c r="K281" i="14" s="1"/>
  <c r="I293" i="14"/>
  <c r="I280" i="14" s="1"/>
  <c r="K280" i="14" s="1"/>
  <c r="J293" i="14"/>
  <c r="J280" i="14" s="1"/>
  <c r="I295" i="14"/>
  <c r="K295" i="14" s="1"/>
  <c r="I296" i="14"/>
  <c r="K296" i="14" s="1"/>
  <c r="J302" i="14"/>
  <c r="L304" i="14"/>
  <c r="O304" i="14" s="1"/>
  <c r="M304" i="14"/>
  <c r="P304" i="14" s="1"/>
  <c r="N304" i="14"/>
  <c r="O307" i="14"/>
  <c r="P307" i="14"/>
  <c r="L308" i="14"/>
  <c r="L306" i="14" s="1"/>
  <c r="O306" i="14" s="1"/>
  <c r="M308" i="14"/>
  <c r="M306" i="14" s="1"/>
  <c r="P306" i="14" s="1"/>
  <c r="N308" i="14"/>
  <c r="N306" i="14" s="1"/>
  <c r="O310" i="14"/>
  <c r="P310" i="14"/>
  <c r="L311" i="14"/>
  <c r="L309" i="14" s="1"/>
  <c r="O309" i="14" s="1"/>
  <c r="M311" i="14"/>
  <c r="M309" i="14" s="1"/>
  <c r="P309" i="14" s="1"/>
  <c r="N311" i="14"/>
  <c r="N309" i="14" s="1"/>
  <c r="I314" i="14"/>
  <c r="I302" i="14" s="1"/>
  <c r="K302" i="14" s="1"/>
  <c r="I315" i="14"/>
  <c r="K315" i="14" s="1"/>
  <c r="I316" i="14"/>
  <c r="K316" i="14" s="1"/>
  <c r="I317" i="14"/>
  <c r="K317" i="14" s="1"/>
  <c r="J319" i="14"/>
  <c r="L321" i="14"/>
  <c r="O321" i="14" s="1"/>
  <c r="M321" i="14"/>
  <c r="P321" i="14" s="1"/>
  <c r="N321" i="14"/>
  <c r="O324" i="14"/>
  <c r="P324" i="14"/>
  <c r="L325" i="14"/>
  <c r="L323" i="14" s="1"/>
  <c r="O323" i="14" s="1"/>
  <c r="M325" i="14"/>
  <c r="M323" i="14" s="1"/>
  <c r="P323" i="14" s="1"/>
  <c r="N325" i="14"/>
  <c r="N323" i="14" s="1"/>
  <c r="O327" i="14"/>
  <c r="P327" i="14"/>
  <c r="L328" i="14"/>
  <c r="L326" i="14" s="1"/>
  <c r="O326" i="14" s="1"/>
  <c r="M328" i="14"/>
  <c r="M326" i="14" s="1"/>
  <c r="P326" i="14" s="1"/>
  <c r="N328" i="14"/>
  <c r="N326" i="14" s="1"/>
  <c r="I330" i="14"/>
  <c r="I319" i="14" s="1"/>
  <c r="K319" i="14" s="1"/>
  <c r="L334" i="14"/>
  <c r="M334" i="14"/>
  <c r="P334" i="14" s="1"/>
  <c r="N334" i="14"/>
  <c r="O337" i="14"/>
  <c r="P337" i="14"/>
  <c r="L338" i="14"/>
  <c r="M338" i="14"/>
  <c r="M336" i="14" s="1"/>
  <c r="N338" i="14"/>
  <c r="O340" i="14"/>
  <c r="P340" i="14"/>
  <c r="L341" i="14"/>
  <c r="L339" i="14" s="1"/>
  <c r="O339" i="14" s="1"/>
  <c r="M341" i="14"/>
  <c r="M339" i="14" s="1"/>
  <c r="P339" i="14" s="1"/>
  <c r="N341" i="14"/>
  <c r="N339" i="14" s="1"/>
  <c r="I344" i="14"/>
  <c r="I332" i="14" s="1"/>
  <c r="J344" i="14"/>
  <c r="I346" i="14"/>
  <c r="J346" i="14"/>
  <c r="J347" i="14"/>
  <c r="J348" i="14"/>
  <c r="J349" i="14"/>
  <c r="D350" i="14"/>
  <c r="J352" i="14"/>
  <c r="J353" i="14"/>
  <c r="D354" i="14"/>
  <c r="L357" i="14"/>
  <c r="M357" i="14"/>
  <c r="P357" i="14" s="1"/>
  <c r="N357" i="14"/>
  <c r="O357" i="14"/>
  <c r="O360" i="14"/>
  <c r="P360" i="14"/>
  <c r="L361" i="14"/>
  <c r="L359" i="14" s="1"/>
  <c r="M361" i="14"/>
  <c r="M359" i="14" s="1"/>
  <c r="N361" i="14"/>
  <c r="O363" i="14"/>
  <c r="P363" i="14"/>
  <c r="L364" i="14"/>
  <c r="L362" i="14" s="1"/>
  <c r="O362" i="14" s="1"/>
  <c r="M364" i="14"/>
  <c r="M362" i="14" s="1"/>
  <c r="P362" i="14" s="1"/>
  <c r="N364" i="14"/>
  <c r="N362" i="14" s="1"/>
  <c r="J367" i="14"/>
  <c r="K367" i="14"/>
  <c r="I368" i="14"/>
  <c r="J368" i="14"/>
  <c r="I369" i="14"/>
  <c r="J369" i="14"/>
  <c r="J370" i="14"/>
  <c r="K370" i="14"/>
  <c r="I371" i="14"/>
  <c r="I365" i="14" s="1"/>
  <c r="J371" i="14"/>
  <c r="J365" i="14" s="1"/>
  <c r="J372" i="14"/>
  <c r="K372" i="14"/>
  <c r="D373" i="14"/>
  <c r="I376" i="14"/>
  <c r="K376" i="14" s="1"/>
  <c r="J376" i="14"/>
  <c r="L378" i="14"/>
  <c r="O378" i="14" s="1"/>
  <c r="M378" i="14"/>
  <c r="P378" i="14" s="1"/>
  <c r="N378" i="14"/>
  <c r="O381" i="14"/>
  <c r="P381" i="14"/>
  <c r="L382" i="14"/>
  <c r="L380" i="14" s="1"/>
  <c r="O380" i="14" s="1"/>
  <c r="M382" i="14"/>
  <c r="M380" i="14" s="1"/>
  <c r="P380" i="14" s="1"/>
  <c r="N382" i="14"/>
  <c r="N380" i="14" s="1"/>
  <c r="O384" i="14"/>
  <c r="P384" i="14"/>
  <c r="L385" i="14"/>
  <c r="L383" i="14" s="1"/>
  <c r="O383" i="14" s="1"/>
  <c r="M385" i="14"/>
  <c r="M383" i="14" s="1"/>
  <c r="P383" i="14" s="1"/>
  <c r="N385" i="14"/>
  <c r="N383" i="14" s="1"/>
  <c r="K387" i="14"/>
  <c r="K388" i="14"/>
  <c r="A391" i="14"/>
  <c r="L22" i="13"/>
  <c r="O22" i="13" s="1"/>
  <c r="M22" i="13"/>
  <c r="N22" i="13"/>
  <c r="N19" i="13" s="1"/>
  <c r="L25" i="13"/>
  <c r="M25" i="13"/>
  <c r="P25" i="13" s="1"/>
  <c r="N25" i="13"/>
  <c r="L45" i="13"/>
  <c r="M45" i="13"/>
  <c r="P45" i="13" s="1"/>
  <c r="N45" i="13"/>
  <c r="O45" i="13"/>
  <c r="O48" i="13"/>
  <c r="P48" i="13"/>
  <c r="L49" i="13"/>
  <c r="M49" i="13"/>
  <c r="M47" i="13" s="1"/>
  <c r="N49" i="13"/>
  <c r="N47" i="13" s="1"/>
  <c r="O51" i="13"/>
  <c r="P51" i="13"/>
  <c r="L52" i="13"/>
  <c r="M52" i="13"/>
  <c r="M50" i="13" s="1"/>
  <c r="P50" i="13" s="1"/>
  <c r="N52" i="13"/>
  <c r="L60" i="13"/>
  <c r="O60" i="13" s="1"/>
  <c r="M60" i="13"/>
  <c r="N60" i="13"/>
  <c r="O63" i="13"/>
  <c r="P63" i="13"/>
  <c r="L64" i="13"/>
  <c r="M64" i="13"/>
  <c r="N64" i="13"/>
  <c r="O66" i="13"/>
  <c r="P66" i="13"/>
  <c r="L67" i="13"/>
  <c r="O67" i="13" s="1"/>
  <c r="M67" i="13"/>
  <c r="N67" i="13"/>
  <c r="N65" i="13" s="1"/>
  <c r="L73" i="13"/>
  <c r="M73" i="13"/>
  <c r="N73" i="13"/>
  <c r="O73" i="13"/>
  <c r="P73" i="13"/>
  <c r="O76" i="13"/>
  <c r="P76" i="13"/>
  <c r="L77" i="13"/>
  <c r="M77" i="13"/>
  <c r="M75" i="13" s="1"/>
  <c r="P75" i="13" s="1"/>
  <c r="N77" i="13"/>
  <c r="N75" i="13" s="1"/>
  <c r="O79" i="13"/>
  <c r="P79" i="13"/>
  <c r="L80" i="13"/>
  <c r="L78" i="13" s="1"/>
  <c r="O78" i="13" s="1"/>
  <c r="M80" i="13"/>
  <c r="M78" i="13" s="1"/>
  <c r="P78" i="13" s="1"/>
  <c r="N80" i="13"/>
  <c r="N78" i="13" s="1"/>
  <c r="J82" i="13"/>
  <c r="J70" i="13" s="1"/>
  <c r="J83" i="13"/>
  <c r="J71" i="13" s="1"/>
  <c r="I84" i="13"/>
  <c r="K84" i="13" s="1"/>
  <c r="I85" i="13"/>
  <c r="I86" i="13"/>
  <c r="K86" i="13" s="1"/>
  <c r="I87" i="13"/>
  <c r="K87" i="13" s="1"/>
  <c r="I88" i="13"/>
  <c r="K88" i="13" s="1"/>
  <c r="I89" i="13"/>
  <c r="K89" i="13" s="1"/>
  <c r="I90" i="13"/>
  <c r="K90" i="13" s="1"/>
  <c r="J92" i="13"/>
  <c r="J93" i="13"/>
  <c r="L95" i="13"/>
  <c r="M95" i="13"/>
  <c r="N95" i="13"/>
  <c r="O95" i="13"/>
  <c r="P95" i="13"/>
  <c r="O98" i="13"/>
  <c r="P98" i="13"/>
  <c r="L99" i="13"/>
  <c r="O99" i="13" s="1"/>
  <c r="M99" i="13"/>
  <c r="N99" i="13"/>
  <c r="N97" i="13" s="1"/>
  <c r="O101" i="13"/>
  <c r="P101" i="13"/>
  <c r="L102" i="13"/>
  <c r="O102" i="13" s="1"/>
  <c r="M102" i="13"/>
  <c r="M100" i="13" s="1"/>
  <c r="P100" i="13" s="1"/>
  <c r="N102" i="13"/>
  <c r="N100" i="13" s="1"/>
  <c r="I108" i="13"/>
  <c r="I92" i="13" s="1"/>
  <c r="K92" i="13" s="1"/>
  <c r="I109" i="13"/>
  <c r="I93" i="13" s="1"/>
  <c r="K93" i="13" s="1"/>
  <c r="I117" i="13"/>
  <c r="K117" i="13" s="1"/>
  <c r="L126" i="13"/>
  <c r="O126" i="13" s="1"/>
  <c r="M126" i="13"/>
  <c r="P126" i="13" s="1"/>
  <c r="N126" i="13"/>
  <c r="O129" i="13"/>
  <c r="P129" i="13"/>
  <c r="L130" i="13"/>
  <c r="O130" i="13" s="1"/>
  <c r="M130" i="13"/>
  <c r="P130" i="13" s="1"/>
  <c r="N130" i="13"/>
  <c r="N128" i="13" s="1"/>
  <c r="O132" i="13"/>
  <c r="P132" i="13"/>
  <c r="L133" i="13"/>
  <c r="L131" i="13" s="1"/>
  <c r="O131" i="13" s="1"/>
  <c r="M133" i="13"/>
  <c r="P133" i="13" s="1"/>
  <c r="N133" i="13"/>
  <c r="N131" i="13" s="1"/>
  <c r="J136" i="13"/>
  <c r="J137" i="13"/>
  <c r="J138" i="13"/>
  <c r="L140" i="13"/>
  <c r="O140" i="13" s="1"/>
  <c r="M140" i="13"/>
  <c r="P140" i="13" s="1"/>
  <c r="N140" i="13"/>
  <c r="O143" i="13"/>
  <c r="P143" i="13"/>
  <c r="L144" i="13"/>
  <c r="O144" i="13" s="1"/>
  <c r="M144" i="13"/>
  <c r="P144" i="13" s="1"/>
  <c r="N144" i="13"/>
  <c r="N142" i="13" s="1"/>
  <c r="O146" i="13"/>
  <c r="P146" i="13"/>
  <c r="L147" i="13"/>
  <c r="L145" i="13" s="1"/>
  <c r="O145" i="13" s="1"/>
  <c r="M147" i="13"/>
  <c r="P147" i="13" s="1"/>
  <c r="N147" i="13"/>
  <c r="N145" i="13" s="1"/>
  <c r="I150" i="13"/>
  <c r="K150" i="13" s="1"/>
  <c r="I151" i="13"/>
  <c r="K151" i="13" s="1"/>
  <c r="I152" i="13"/>
  <c r="K152" i="13" s="1"/>
  <c r="I153" i="13"/>
  <c r="K153" i="13" s="1"/>
  <c r="I154" i="13"/>
  <c r="I136" i="13" s="1"/>
  <c r="K136" i="13" s="1"/>
  <c r="J156" i="13"/>
  <c r="L158" i="13"/>
  <c r="M158" i="13"/>
  <c r="P158" i="13" s="1"/>
  <c r="N158" i="13"/>
  <c r="O158" i="13"/>
  <c r="O161" i="13"/>
  <c r="P161" i="13"/>
  <c r="L162" i="13"/>
  <c r="L160" i="13" s="1"/>
  <c r="M162" i="13"/>
  <c r="M160" i="13" s="1"/>
  <c r="P160" i="13" s="1"/>
  <c r="N162" i="13"/>
  <c r="N160" i="13" s="1"/>
  <c r="O164" i="13"/>
  <c r="P164" i="13"/>
  <c r="L165" i="13"/>
  <c r="L163" i="13" s="1"/>
  <c r="O163" i="13" s="1"/>
  <c r="M165" i="13"/>
  <c r="M163" i="13" s="1"/>
  <c r="P163" i="13" s="1"/>
  <c r="N165" i="13"/>
  <c r="N163" i="13" s="1"/>
  <c r="I167" i="13"/>
  <c r="I168" i="13" s="1"/>
  <c r="K168" i="13" s="1"/>
  <c r="J172" i="13"/>
  <c r="L174" i="13"/>
  <c r="M174" i="13"/>
  <c r="P174" i="13" s="1"/>
  <c r="N174" i="13"/>
  <c r="O177" i="13"/>
  <c r="P177" i="13"/>
  <c r="L178" i="13"/>
  <c r="M178" i="13"/>
  <c r="M176" i="13" s="1"/>
  <c r="N178" i="13"/>
  <c r="N176" i="13" s="1"/>
  <c r="O180" i="13"/>
  <c r="P180" i="13"/>
  <c r="L181" i="13"/>
  <c r="L179" i="13" s="1"/>
  <c r="O179" i="13" s="1"/>
  <c r="M181" i="13"/>
  <c r="M179" i="13" s="1"/>
  <c r="P179" i="13" s="1"/>
  <c r="N181" i="13"/>
  <c r="N179" i="13" s="1"/>
  <c r="I183" i="13"/>
  <c r="K183" i="13" s="1"/>
  <c r="K184" i="13"/>
  <c r="L187" i="13"/>
  <c r="O187" i="13" s="1"/>
  <c r="M187" i="13"/>
  <c r="N187" i="13"/>
  <c r="O190" i="13"/>
  <c r="P190" i="13"/>
  <c r="L191" i="13"/>
  <c r="M191" i="13"/>
  <c r="M189" i="13" s="1"/>
  <c r="N191" i="13"/>
  <c r="O193" i="13"/>
  <c r="P193" i="13"/>
  <c r="L194" i="13"/>
  <c r="O194" i="13" s="1"/>
  <c r="M194" i="13"/>
  <c r="M192" i="13" s="1"/>
  <c r="P192" i="13" s="1"/>
  <c r="N194" i="13"/>
  <c r="N192" i="13" s="1"/>
  <c r="J195" i="13"/>
  <c r="L196" i="13"/>
  <c r="O196" i="13" s="1"/>
  <c r="P196" i="13"/>
  <c r="I198" i="13"/>
  <c r="I195" i="13" s="1"/>
  <c r="J199" i="13"/>
  <c r="J202" i="13"/>
  <c r="N203" i="13"/>
  <c r="P203" i="13"/>
  <c r="L204" i="13"/>
  <c r="L205" i="13"/>
  <c r="L206" i="13"/>
  <c r="L207" i="13"/>
  <c r="I209" i="13"/>
  <c r="I202" i="13" s="1"/>
  <c r="I211" i="13"/>
  <c r="K211" i="13" s="1"/>
  <c r="I212" i="13"/>
  <c r="K212" i="13" s="1"/>
  <c r="J213" i="13"/>
  <c r="N214" i="13"/>
  <c r="P214" i="13"/>
  <c r="L215" i="13"/>
  <c r="L216" i="13"/>
  <c r="L217" i="13"/>
  <c r="I219" i="13"/>
  <c r="K219" i="13" s="1"/>
  <c r="I220" i="13"/>
  <c r="K220" i="13" s="1"/>
  <c r="J221" i="13"/>
  <c r="N222" i="13"/>
  <c r="P222" i="13"/>
  <c r="L223" i="13"/>
  <c r="L224" i="13"/>
  <c r="L225" i="13"/>
  <c r="I228" i="13"/>
  <c r="K228" i="13" s="1"/>
  <c r="I229" i="13"/>
  <c r="I221" i="13" s="1"/>
  <c r="I230" i="13"/>
  <c r="N233" i="13"/>
  <c r="N234" i="13"/>
  <c r="N235" i="13"/>
  <c r="N236" i="13"/>
  <c r="J238" i="13"/>
  <c r="J240" i="13"/>
  <c r="J241" i="13"/>
  <c r="J242" i="13"/>
  <c r="J231" i="13" s="1"/>
  <c r="J185" i="13" s="1"/>
  <c r="N243" i="13"/>
  <c r="P243" i="13"/>
  <c r="L244" i="13"/>
  <c r="L245" i="13"/>
  <c r="L246" i="13"/>
  <c r="L247" i="13"/>
  <c r="I249" i="13"/>
  <c r="I251" i="13"/>
  <c r="I240" i="13" s="1"/>
  <c r="K240" i="13" s="1"/>
  <c r="I252" i="13"/>
  <c r="K252" i="13" s="1"/>
  <c r="J253" i="13"/>
  <c r="N254" i="13"/>
  <c r="P254" i="13"/>
  <c r="L255" i="13"/>
  <c r="L256" i="13"/>
  <c r="L257" i="13"/>
  <c r="L258" i="13"/>
  <c r="I260" i="13"/>
  <c r="K260" i="13" s="1"/>
  <c r="K262" i="13"/>
  <c r="K263" i="13"/>
  <c r="I265" i="13"/>
  <c r="K265" i="13" s="1"/>
  <c r="J265" i="13"/>
  <c r="L267" i="13"/>
  <c r="O267" i="13" s="1"/>
  <c r="M267" i="13"/>
  <c r="P267" i="13" s="1"/>
  <c r="N267" i="13"/>
  <c r="O270" i="13"/>
  <c r="P270" i="13"/>
  <c r="L271" i="13"/>
  <c r="O271" i="13" s="1"/>
  <c r="M271" i="13"/>
  <c r="M269" i="13" s="1"/>
  <c r="P269" i="13" s="1"/>
  <c r="N271" i="13"/>
  <c r="N269" i="13" s="1"/>
  <c r="O273" i="13"/>
  <c r="P273" i="13"/>
  <c r="L274" i="13"/>
  <c r="O274" i="13" s="1"/>
  <c r="M274" i="13"/>
  <c r="P274" i="13" s="1"/>
  <c r="N274" i="13"/>
  <c r="N272" i="13" s="1"/>
  <c r="J281" i="13"/>
  <c r="L283" i="13"/>
  <c r="O283" i="13" s="1"/>
  <c r="M283" i="13"/>
  <c r="P283" i="13" s="1"/>
  <c r="N283" i="13"/>
  <c r="O286" i="13"/>
  <c r="P286" i="13"/>
  <c r="L287" i="13"/>
  <c r="L285" i="13" s="1"/>
  <c r="O285" i="13" s="1"/>
  <c r="M287" i="13"/>
  <c r="M285" i="13" s="1"/>
  <c r="P285" i="13" s="1"/>
  <c r="N287" i="13"/>
  <c r="N285" i="13" s="1"/>
  <c r="O289" i="13"/>
  <c r="P289" i="13"/>
  <c r="L290" i="13"/>
  <c r="L288" i="13" s="1"/>
  <c r="O288" i="13" s="1"/>
  <c r="M290" i="13"/>
  <c r="M288" i="13" s="1"/>
  <c r="P288" i="13" s="1"/>
  <c r="N290" i="13"/>
  <c r="N288" i="13" s="1"/>
  <c r="I292" i="13"/>
  <c r="K292" i="13" s="1"/>
  <c r="I293" i="13"/>
  <c r="K293" i="13" s="1"/>
  <c r="J293" i="13"/>
  <c r="J280" i="13" s="1"/>
  <c r="I295" i="13"/>
  <c r="K295" i="13" s="1"/>
  <c r="I296" i="13"/>
  <c r="K296" i="13" s="1"/>
  <c r="J302" i="13"/>
  <c r="L304" i="13"/>
  <c r="O304" i="13" s="1"/>
  <c r="M304" i="13"/>
  <c r="N304" i="13"/>
  <c r="O307" i="13"/>
  <c r="P307" i="13"/>
  <c r="L308" i="13"/>
  <c r="L306" i="13" s="1"/>
  <c r="M308" i="13"/>
  <c r="M306" i="13" s="1"/>
  <c r="N308" i="13"/>
  <c r="N306" i="13" s="1"/>
  <c r="O310" i="13"/>
  <c r="P310" i="13"/>
  <c r="L311" i="13"/>
  <c r="O311" i="13" s="1"/>
  <c r="M311" i="13"/>
  <c r="P311" i="13" s="1"/>
  <c r="N311" i="13"/>
  <c r="N309" i="13" s="1"/>
  <c r="I314" i="13"/>
  <c r="K314" i="13" s="1"/>
  <c r="I315" i="13"/>
  <c r="K315" i="13" s="1"/>
  <c r="I316" i="13"/>
  <c r="K316" i="13" s="1"/>
  <c r="I317" i="13"/>
  <c r="K317" i="13" s="1"/>
  <c r="J319" i="13"/>
  <c r="L321" i="13"/>
  <c r="M321" i="13"/>
  <c r="N321" i="13"/>
  <c r="O321" i="13"/>
  <c r="P321" i="13"/>
  <c r="O324" i="13"/>
  <c r="P324" i="13"/>
  <c r="L325" i="13"/>
  <c r="L323" i="13" s="1"/>
  <c r="O323" i="13" s="1"/>
  <c r="M325" i="13"/>
  <c r="M323" i="13" s="1"/>
  <c r="P323" i="13" s="1"/>
  <c r="N325" i="13"/>
  <c r="N323" i="13" s="1"/>
  <c r="O327" i="13"/>
  <c r="P327" i="13"/>
  <c r="L328" i="13"/>
  <c r="L326" i="13" s="1"/>
  <c r="O326" i="13" s="1"/>
  <c r="M328" i="13"/>
  <c r="M326" i="13" s="1"/>
  <c r="P326" i="13" s="1"/>
  <c r="N328" i="13"/>
  <c r="N326" i="13" s="1"/>
  <c r="I330" i="13"/>
  <c r="I319" i="13" s="1"/>
  <c r="K319" i="13" s="1"/>
  <c r="L334" i="13"/>
  <c r="M334" i="13"/>
  <c r="N334" i="13"/>
  <c r="O334" i="13"/>
  <c r="O337" i="13"/>
  <c r="P337" i="13"/>
  <c r="L338" i="13"/>
  <c r="M338" i="13"/>
  <c r="N338" i="13"/>
  <c r="O340" i="13"/>
  <c r="P340" i="13"/>
  <c r="L341" i="13"/>
  <c r="O341" i="13" s="1"/>
  <c r="M341" i="13"/>
  <c r="P341" i="13" s="1"/>
  <c r="N341" i="13"/>
  <c r="N339" i="13" s="1"/>
  <c r="I344" i="13"/>
  <c r="I332" i="13" s="1"/>
  <c r="J344" i="13"/>
  <c r="I346" i="13"/>
  <c r="J346" i="13"/>
  <c r="J347" i="13"/>
  <c r="J348" i="13"/>
  <c r="J349" i="13"/>
  <c r="D350" i="13"/>
  <c r="J352" i="13"/>
  <c r="J353" i="13"/>
  <c r="D354" i="13"/>
  <c r="L357" i="13"/>
  <c r="O357" i="13" s="1"/>
  <c r="M357" i="13"/>
  <c r="N357" i="13"/>
  <c r="O360" i="13"/>
  <c r="P360" i="13"/>
  <c r="L361" i="13"/>
  <c r="L359" i="13" s="1"/>
  <c r="M361" i="13"/>
  <c r="N361" i="13"/>
  <c r="O363" i="13"/>
  <c r="P363" i="13"/>
  <c r="L364" i="13"/>
  <c r="L362" i="13" s="1"/>
  <c r="O362" i="13" s="1"/>
  <c r="M364" i="13"/>
  <c r="P364" i="13" s="1"/>
  <c r="N364" i="13"/>
  <c r="N362" i="13" s="1"/>
  <c r="J367" i="13"/>
  <c r="K367" i="13"/>
  <c r="I368" i="13"/>
  <c r="K368" i="13" s="1"/>
  <c r="J368" i="13"/>
  <c r="I369" i="13"/>
  <c r="K369" i="13" s="1"/>
  <c r="J369" i="13"/>
  <c r="J370" i="13"/>
  <c r="K370" i="13"/>
  <c r="I371" i="13"/>
  <c r="I365" i="13" s="1"/>
  <c r="K365" i="13" s="1"/>
  <c r="J371" i="13"/>
  <c r="J365" i="13" s="1"/>
  <c r="J372" i="13"/>
  <c r="K372" i="13"/>
  <c r="D373" i="13"/>
  <c r="I376" i="13"/>
  <c r="J376" i="13"/>
  <c r="K376" i="13"/>
  <c r="L378" i="13"/>
  <c r="M378" i="13"/>
  <c r="P378" i="13" s="1"/>
  <c r="N378" i="13"/>
  <c r="O381" i="13"/>
  <c r="P381" i="13"/>
  <c r="L382" i="13"/>
  <c r="O382" i="13" s="1"/>
  <c r="M382" i="13"/>
  <c r="N382" i="13"/>
  <c r="N380" i="13" s="1"/>
  <c r="O384" i="13"/>
  <c r="P384" i="13"/>
  <c r="L385" i="13"/>
  <c r="O385" i="13" s="1"/>
  <c r="M385" i="13"/>
  <c r="P385" i="13" s="1"/>
  <c r="N385" i="13"/>
  <c r="N383" i="13" s="1"/>
  <c r="K387" i="13"/>
  <c r="K388" i="13"/>
  <c r="A391" i="13"/>
  <c r="L22" i="12"/>
  <c r="O22" i="12" s="1"/>
  <c r="M22" i="12"/>
  <c r="N22" i="12"/>
  <c r="L25" i="12"/>
  <c r="M25" i="12"/>
  <c r="P25" i="12" s="1"/>
  <c r="N25" i="12"/>
  <c r="N19" i="12" s="1"/>
  <c r="L45" i="12"/>
  <c r="M45" i="12"/>
  <c r="N45" i="12"/>
  <c r="P45" i="12"/>
  <c r="O48" i="12"/>
  <c r="P48" i="12"/>
  <c r="L49" i="12"/>
  <c r="L47" i="12" s="1"/>
  <c r="M49" i="12"/>
  <c r="M47" i="12" s="1"/>
  <c r="N49" i="12"/>
  <c r="N47" i="12" s="1"/>
  <c r="O51" i="12"/>
  <c r="P51" i="12"/>
  <c r="L52" i="12"/>
  <c r="L50" i="12" s="1"/>
  <c r="O50" i="12" s="1"/>
  <c r="M52" i="12"/>
  <c r="M50" i="12" s="1"/>
  <c r="P50" i="12" s="1"/>
  <c r="N52" i="12"/>
  <c r="N50" i="12" s="1"/>
  <c r="L60" i="12"/>
  <c r="M60" i="12"/>
  <c r="N60" i="12"/>
  <c r="O60" i="12"/>
  <c r="O63" i="12"/>
  <c r="P63" i="12"/>
  <c r="L64" i="12"/>
  <c r="M64" i="12"/>
  <c r="M62" i="12" s="1"/>
  <c r="N64" i="12"/>
  <c r="N62" i="12" s="1"/>
  <c r="O66" i="12"/>
  <c r="P66" i="12"/>
  <c r="L67" i="12"/>
  <c r="O67" i="12" s="1"/>
  <c r="M67" i="12"/>
  <c r="M65" i="12" s="1"/>
  <c r="P65" i="12" s="1"/>
  <c r="N67" i="12"/>
  <c r="N65" i="12" s="1"/>
  <c r="J70" i="12"/>
  <c r="L73" i="12"/>
  <c r="O73" i="12" s="1"/>
  <c r="M73" i="12"/>
  <c r="P73" i="12" s="1"/>
  <c r="N73" i="12"/>
  <c r="O76" i="12"/>
  <c r="P76" i="12"/>
  <c r="L77" i="12"/>
  <c r="M77" i="12"/>
  <c r="N77" i="12"/>
  <c r="O79" i="12"/>
  <c r="P79" i="12"/>
  <c r="L80" i="12"/>
  <c r="L78" i="12" s="1"/>
  <c r="O78" i="12" s="1"/>
  <c r="M80" i="12"/>
  <c r="N80" i="12"/>
  <c r="N78" i="12" s="1"/>
  <c r="J82" i="12"/>
  <c r="J83" i="12"/>
  <c r="J71" i="12" s="1"/>
  <c r="I84" i="12"/>
  <c r="K84" i="12" s="1"/>
  <c r="I85" i="12"/>
  <c r="K85" i="12" s="1"/>
  <c r="I86" i="12"/>
  <c r="K86" i="12" s="1"/>
  <c r="I87" i="12"/>
  <c r="K87" i="12" s="1"/>
  <c r="I88" i="12"/>
  <c r="K88" i="12" s="1"/>
  <c r="I89" i="12"/>
  <c r="K89" i="12" s="1"/>
  <c r="I90" i="12"/>
  <c r="K90" i="12" s="1"/>
  <c r="J92" i="12"/>
  <c r="J93" i="12"/>
  <c r="L95" i="12"/>
  <c r="O95" i="12" s="1"/>
  <c r="M95" i="12"/>
  <c r="P95" i="12" s="1"/>
  <c r="N95" i="12"/>
  <c r="O98" i="12"/>
  <c r="P98" i="12"/>
  <c r="L99" i="12"/>
  <c r="L97" i="12" s="1"/>
  <c r="M99" i="12"/>
  <c r="M97" i="12" s="1"/>
  <c r="N99" i="12"/>
  <c r="N97" i="12" s="1"/>
  <c r="O101" i="12"/>
  <c r="P101" i="12"/>
  <c r="L102" i="12"/>
  <c r="L100" i="12" s="1"/>
  <c r="O100" i="12" s="1"/>
  <c r="M102" i="12"/>
  <c r="M100" i="12" s="1"/>
  <c r="P100" i="12" s="1"/>
  <c r="N102" i="12"/>
  <c r="N100" i="12" s="1"/>
  <c r="I108" i="12"/>
  <c r="I92" i="12" s="1"/>
  <c r="I109" i="12"/>
  <c r="I93" i="12" s="1"/>
  <c r="K93" i="12" s="1"/>
  <c r="I117" i="12"/>
  <c r="K117" i="12" s="1"/>
  <c r="L126" i="12"/>
  <c r="M126" i="12"/>
  <c r="P126" i="12" s="1"/>
  <c r="N126" i="12"/>
  <c r="O129" i="12"/>
  <c r="P129" i="12"/>
  <c r="L130" i="12"/>
  <c r="L128" i="12" s="1"/>
  <c r="O128" i="12" s="1"/>
  <c r="M130" i="12"/>
  <c r="M128" i="12" s="1"/>
  <c r="P128" i="12" s="1"/>
  <c r="N130" i="12"/>
  <c r="N128" i="12" s="1"/>
  <c r="O132" i="12"/>
  <c r="P132" i="12"/>
  <c r="L133" i="12"/>
  <c r="L131" i="12" s="1"/>
  <c r="O131" i="12" s="1"/>
  <c r="M133" i="12"/>
  <c r="M131" i="12" s="1"/>
  <c r="P131" i="12" s="1"/>
  <c r="N133" i="12"/>
  <c r="N131" i="12" s="1"/>
  <c r="J136" i="12"/>
  <c r="J137" i="12"/>
  <c r="J138" i="12"/>
  <c r="L140" i="12"/>
  <c r="M140" i="12"/>
  <c r="P140" i="12" s="1"/>
  <c r="N140" i="12"/>
  <c r="O143" i="12"/>
  <c r="P143" i="12"/>
  <c r="L144" i="12"/>
  <c r="L142" i="12" s="1"/>
  <c r="M144" i="12"/>
  <c r="M142" i="12" s="1"/>
  <c r="N144" i="12"/>
  <c r="O146" i="12"/>
  <c r="P146" i="12"/>
  <c r="L147" i="12"/>
  <c r="L145" i="12" s="1"/>
  <c r="O145" i="12" s="1"/>
  <c r="M147" i="12"/>
  <c r="M145" i="12" s="1"/>
  <c r="P145" i="12" s="1"/>
  <c r="N147" i="12"/>
  <c r="N145" i="12" s="1"/>
  <c r="I150" i="12"/>
  <c r="K150" i="12" s="1"/>
  <c r="I151" i="12"/>
  <c r="K151" i="12" s="1"/>
  <c r="I152" i="12"/>
  <c r="I137" i="12" s="1"/>
  <c r="K137" i="12" s="1"/>
  <c r="I153" i="12"/>
  <c r="K153" i="12" s="1"/>
  <c r="I154" i="12"/>
  <c r="K154" i="12" s="1"/>
  <c r="J156" i="12"/>
  <c r="L158" i="12"/>
  <c r="O158" i="12" s="1"/>
  <c r="M158" i="12"/>
  <c r="N158" i="12"/>
  <c r="O161" i="12"/>
  <c r="P161" i="12"/>
  <c r="L162" i="12"/>
  <c r="O162" i="12" s="1"/>
  <c r="M162" i="12"/>
  <c r="P162" i="12" s="1"/>
  <c r="N162" i="12"/>
  <c r="N160" i="12" s="1"/>
  <c r="O164" i="12"/>
  <c r="P164" i="12"/>
  <c r="L165" i="12"/>
  <c r="M165" i="12"/>
  <c r="P165" i="12" s="1"/>
  <c r="N165" i="12"/>
  <c r="N163" i="12" s="1"/>
  <c r="I167" i="12"/>
  <c r="K167" i="12" s="1"/>
  <c r="I168" i="12"/>
  <c r="K168" i="12" s="1"/>
  <c r="I169" i="12"/>
  <c r="K169" i="12" s="1"/>
  <c r="J172" i="12"/>
  <c r="L174" i="12"/>
  <c r="O174" i="12" s="1"/>
  <c r="M174" i="12"/>
  <c r="N174" i="12"/>
  <c r="O177" i="12"/>
  <c r="P177" i="12"/>
  <c r="L178" i="12"/>
  <c r="M178" i="12"/>
  <c r="N178" i="12"/>
  <c r="N176" i="12" s="1"/>
  <c r="O180" i="12"/>
  <c r="P180" i="12"/>
  <c r="L181" i="12"/>
  <c r="M181" i="12"/>
  <c r="P181" i="12" s="1"/>
  <c r="N181" i="12"/>
  <c r="N179" i="12" s="1"/>
  <c r="I183" i="12"/>
  <c r="K183" i="12" s="1"/>
  <c r="K184" i="12"/>
  <c r="L187" i="12"/>
  <c r="O187" i="12" s="1"/>
  <c r="M187" i="12"/>
  <c r="P187" i="12" s="1"/>
  <c r="N187" i="12"/>
  <c r="O190" i="12"/>
  <c r="P190" i="12"/>
  <c r="L191" i="12"/>
  <c r="M191" i="12"/>
  <c r="M189" i="12" s="1"/>
  <c r="N191" i="12"/>
  <c r="N189" i="12" s="1"/>
  <c r="O193" i="12"/>
  <c r="P193" i="12"/>
  <c r="L194" i="12"/>
  <c r="L192" i="12" s="1"/>
  <c r="O192" i="12" s="1"/>
  <c r="M194" i="12"/>
  <c r="M192" i="12" s="1"/>
  <c r="P192" i="12" s="1"/>
  <c r="N194" i="12"/>
  <c r="N192" i="12" s="1"/>
  <c r="J195" i="12"/>
  <c r="L196" i="12"/>
  <c r="O196" i="12" s="1"/>
  <c r="P196" i="12"/>
  <c r="I198" i="12"/>
  <c r="I195" i="12" s="1"/>
  <c r="K195" i="12" s="1"/>
  <c r="J199" i="12"/>
  <c r="J202" i="12"/>
  <c r="N203" i="12"/>
  <c r="P203" i="12"/>
  <c r="L204" i="12"/>
  <c r="L205" i="12"/>
  <c r="L206" i="12"/>
  <c r="L207" i="12"/>
  <c r="I209" i="12"/>
  <c r="K209" i="12" s="1"/>
  <c r="I211" i="12"/>
  <c r="K211" i="12" s="1"/>
  <c r="I212" i="12"/>
  <c r="K212" i="12" s="1"/>
  <c r="J213" i="12"/>
  <c r="N214" i="12"/>
  <c r="P214" i="12"/>
  <c r="L215" i="12"/>
  <c r="L216" i="12"/>
  <c r="L217" i="12"/>
  <c r="I219" i="12"/>
  <c r="K219" i="12" s="1"/>
  <c r="I220" i="12"/>
  <c r="I213" i="12" s="1"/>
  <c r="K213" i="12" s="1"/>
  <c r="J221" i="12"/>
  <c r="N222" i="12"/>
  <c r="P222" i="12"/>
  <c r="L223" i="12"/>
  <c r="L224" i="12"/>
  <c r="L225" i="12"/>
  <c r="I228" i="12"/>
  <c r="K228" i="12" s="1"/>
  <c r="I229" i="12"/>
  <c r="I221" i="12" s="1"/>
  <c r="I230" i="12"/>
  <c r="N233" i="12"/>
  <c r="N234" i="12"/>
  <c r="N235" i="12"/>
  <c r="N236" i="12"/>
  <c r="J238" i="12"/>
  <c r="J240" i="12"/>
  <c r="J241" i="12"/>
  <c r="J242" i="12"/>
  <c r="J231" i="12" s="1"/>
  <c r="J185" i="12" s="1"/>
  <c r="N243" i="12"/>
  <c r="P243" i="12"/>
  <c r="L244" i="12"/>
  <c r="L245" i="12"/>
  <c r="L246" i="12"/>
  <c r="L247" i="12"/>
  <c r="I249" i="12"/>
  <c r="I251" i="12"/>
  <c r="K251" i="12" s="1"/>
  <c r="I252" i="12"/>
  <c r="I241" i="12" s="1"/>
  <c r="K241" i="12" s="1"/>
  <c r="J253" i="12"/>
  <c r="N254" i="12"/>
  <c r="N232" i="12" s="1"/>
  <c r="P254" i="12"/>
  <c r="L255" i="12"/>
  <c r="L256" i="12"/>
  <c r="L257" i="12"/>
  <c r="L258" i="12"/>
  <c r="I260" i="12"/>
  <c r="I253" i="12" s="1"/>
  <c r="K253" i="12" s="1"/>
  <c r="K262" i="12"/>
  <c r="K263" i="12"/>
  <c r="I265" i="12"/>
  <c r="J265" i="12"/>
  <c r="K265" i="12"/>
  <c r="L267" i="12"/>
  <c r="O267" i="12" s="1"/>
  <c r="M267" i="12"/>
  <c r="P267" i="12" s="1"/>
  <c r="N267" i="12"/>
  <c r="O270" i="12"/>
  <c r="P270" i="12"/>
  <c r="L271" i="12"/>
  <c r="L269" i="12" s="1"/>
  <c r="O269" i="12" s="1"/>
  <c r="M271" i="12"/>
  <c r="M269" i="12" s="1"/>
  <c r="P269" i="12" s="1"/>
  <c r="N271" i="12"/>
  <c r="O273" i="12"/>
  <c r="P273" i="12"/>
  <c r="L274" i="12"/>
  <c r="L272" i="12" s="1"/>
  <c r="O272" i="12" s="1"/>
  <c r="M274" i="12"/>
  <c r="P274" i="12" s="1"/>
  <c r="N274" i="12"/>
  <c r="N272" i="12" s="1"/>
  <c r="J281" i="12"/>
  <c r="L283" i="12"/>
  <c r="O283" i="12" s="1"/>
  <c r="M283" i="12"/>
  <c r="P283" i="12" s="1"/>
  <c r="N283" i="12"/>
  <c r="O286" i="12"/>
  <c r="P286" i="12"/>
  <c r="L287" i="12"/>
  <c r="M287" i="12"/>
  <c r="N287" i="12"/>
  <c r="N285" i="12" s="1"/>
  <c r="O289" i="12"/>
  <c r="P289" i="12"/>
  <c r="L290" i="12"/>
  <c r="L288" i="12" s="1"/>
  <c r="O288" i="12" s="1"/>
  <c r="M290" i="12"/>
  <c r="P290" i="12" s="1"/>
  <c r="N290" i="12"/>
  <c r="N288" i="12" s="1"/>
  <c r="I292" i="12"/>
  <c r="I281" i="12" s="1"/>
  <c r="K281" i="12" s="1"/>
  <c r="I293" i="12"/>
  <c r="I280" i="12" s="1"/>
  <c r="K280" i="12" s="1"/>
  <c r="J293" i="12"/>
  <c r="J280" i="12" s="1"/>
  <c r="I295" i="12"/>
  <c r="K295" i="12" s="1"/>
  <c r="I296" i="12"/>
  <c r="K296" i="12" s="1"/>
  <c r="J302" i="12"/>
  <c r="L304" i="12"/>
  <c r="M304" i="12"/>
  <c r="P304" i="12" s="1"/>
  <c r="N304" i="12"/>
  <c r="O307" i="12"/>
  <c r="P307" i="12"/>
  <c r="L308" i="12"/>
  <c r="L306" i="12" s="1"/>
  <c r="M308" i="12"/>
  <c r="N308" i="12"/>
  <c r="O310" i="12"/>
  <c r="P310" i="12"/>
  <c r="L311" i="12"/>
  <c r="L309" i="12" s="1"/>
  <c r="O309" i="12" s="1"/>
  <c r="M311" i="12"/>
  <c r="M309" i="12" s="1"/>
  <c r="P309" i="12" s="1"/>
  <c r="N311" i="12"/>
  <c r="N309" i="12" s="1"/>
  <c r="I314" i="12"/>
  <c r="I302" i="12" s="1"/>
  <c r="I315" i="12"/>
  <c r="K315" i="12" s="1"/>
  <c r="I316" i="12"/>
  <c r="K316" i="12" s="1"/>
  <c r="I317" i="12"/>
  <c r="K317" i="12" s="1"/>
  <c r="J319" i="12"/>
  <c r="L321" i="12"/>
  <c r="O321" i="12" s="1"/>
  <c r="M321" i="12"/>
  <c r="N321" i="12"/>
  <c r="O324" i="12"/>
  <c r="P324" i="12"/>
  <c r="L325" i="12"/>
  <c r="O325" i="12" s="1"/>
  <c r="M325" i="12"/>
  <c r="M323" i="12" s="1"/>
  <c r="P323" i="12" s="1"/>
  <c r="N325" i="12"/>
  <c r="N323" i="12" s="1"/>
  <c r="O327" i="12"/>
  <c r="P327" i="12"/>
  <c r="L328" i="12"/>
  <c r="O328" i="12" s="1"/>
  <c r="M328" i="12"/>
  <c r="P328" i="12" s="1"/>
  <c r="N328" i="12"/>
  <c r="N326" i="12" s="1"/>
  <c r="I330" i="12"/>
  <c r="I319" i="12" s="1"/>
  <c r="K319" i="12" s="1"/>
  <c r="L334" i="12"/>
  <c r="O334" i="12" s="1"/>
  <c r="M334" i="12"/>
  <c r="P334" i="12" s="1"/>
  <c r="N334" i="12"/>
  <c r="O337" i="12"/>
  <c r="P337" i="12"/>
  <c r="L338" i="12"/>
  <c r="M338" i="12"/>
  <c r="N338" i="12"/>
  <c r="O340" i="12"/>
  <c r="P340" i="12"/>
  <c r="L341" i="12"/>
  <c r="L339" i="12" s="1"/>
  <c r="O339" i="12" s="1"/>
  <c r="M341" i="12"/>
  <c r="P341" i="12" s="1"/>
  <c r="N341" i="12"/>
  <c r="N339" i="12" s="1"/>
  <c r="I344" i="12"/>
  <c r="J344" i="12"/>
  <c r="I346" i="12"/>
  <c r="J346" i="12"/>
  <c r="J347" i="12"/>
  <c r="J348" i="12"/>
  <c r="J349" i="12"/>
  <c r="D350" i="12"/>
  <c r="J352" i="12"/>
  <c r="J353" i="12"/>
  <c r="D354" i="12"/>
  <c r="L357" i="12"/>
  <c r="O357" i="12" s="1"/>
  <c r="M357" i="12"/>
  <c r="N357" i="12"/>
  <c r="O360" i="12"/>
  <c r="P360" i="12"/>
  <c r="L361" i="12"/>
  <c r="L359" i="12" s="1"/>
  <c r="M361" i="12"/>
  <c r="N361" i="12"/>
  <c r="O363" i="12"/>
  <c r="P363" i="12"/>
  <c r="L364" i="12"/>
  <c r="L362" i="12" s="1"/>
  <c r="O362" i="12" s="1"/>
  <c r="M364" i="12"/>
  <c r="P364" i="12" s="1"/>
  <c r="N364" i="12"/>
  <c r="N362" i="12" s="1"/>
  <c r="J367" i="12"/>
  <c r="K367" i="12"/>
  <c r="I368" i="12"/>
  <c r="J368" i="12"/>
  <c r="I369" i="12"/>
  <c r="J369" i="12"/>
  <c r="J370" i="12"/>
  <c r="K370" i="12"/>
  <c r="I371" i="12"/>
  <c r="J371" i="12"/>
  <c r="J365" i="12" s="1"/>
  <c r="J372" i="12"/>
  <c r="K372" i="12"/>
  <c r="D373" i="12"/>
  <c r="I376" i="12"/>
  <c r="J376" i="12"/>
  <c r="K376" i="12"/>
  <c r="L378" i="12"/>
  <c r="M378" i="12"/>
  <c r="P378" i="12" s="1"/>
  <c r="N378" i="12"/>
  <c r="O381" i="12"/>
  <c r="P381" i="12"/>
  <c r="L382" i="12"/>
  <c r="O382" i="12" s="1"/>
  <c r="M382" i="12"/>
  <c r="P382" i="12" s="1"/>
  <c r="N382" i="12"/>
  <c r="N380" i="12" s="1"/>
  <c r="O384" i="12"/>
  <c r="P384" i="12"/>
  <c r="L385" i="12"/>
  <c r="O385" i="12" s="1"/>
  <c r="M385" i="12"/>
  <c r="P385" i="12" s="1"/>
  <c r="N385" i="12"/>
  <c r="N383" i="12" s="1"/>
  <c r="K387" i="12"/>
  <c r="K388" i="12"/>
  <c r="A391" i="12"/>
  <c r="L22" i="11"/>
  <c r="O22" i="11" s="1"/>
  <c r="M22" i="11"/>
  <c r="N22" i="11"/>
  <c r="P22" i="11"/>
  <c r="L25" i="11"/>
  <c r="L19" i="11" s="1"/>
  <c r="M25" i="11"/>
  <c r="N25" i="11"/>
  <c r="L45" i="11"/>
  <c r="M45" i="11"/>
  <c r="N45" i="11"/>
  <c r="O45" i="11"/>
  <c r="P45" i="11"/>
  <c r="O48" i="11"/>
  <c r="P48" i="11"/>
  <c r="L49" i="11"/>
  <c r="M49" i="11"/>
  <c r="M47" i="11" s="1"/>
  <c r="N49" i="11"/>
  <c r="O51" i="11"/>
  <c r="P51" i="11"/>
  <c r="L52" i="11"/>
  <c r="O52" i="11" s="1"/>
  <c r="M52" i="11"/>
  <c r="M50" i="11" s="1"/>
  <c r="P50" i="11" s="1"/>
  <c r="N52" i="11"/>
  <c r="N50" i="11" s="1"/>
  <c r="L60" i="11"/>
  <c r="O60" i="11" s="1"/>
  <c r="M60" i="11"/>
  <c r="N60" i="11"/>
  <c r="O63" i="11"/>
  <c r="P63" i="11"/>
  <c r="L64" i="11"/>
  <c r="M64" i="11"/>
  <c r="N64" i="11"/>
  <c r="O66" i="11"/>
  <c r="P66" i="11"/>
  <c r="L67" i="11"/>
  <c r="O67" i="11" s="1"/>
  <c r="M67" i="11"/>
  <c r="N67" i="11"/>
  <c r="N65" i="11" s="1"/>
  <c r="L73" i="11"/>
  <c r="O73" i="11" s="1"/>
  <c r="M73" i="11"/>
  <c r="N73" i="11"/>
  <c r="P73" i="11"/>
  <c r="O76" i="11"/>
  <c r="P76" i="11"/>
  <c r="L77" i="11"/>
  <c r="L75" i="11" s="1"/>
  <c r="O75" i="11" s="1"/>
  <c r="M77" i="11"/>
  <c r="M75" i="11" s="1"/>
  <c r="P75" i="11" s="1"/>
  <c r="N77" i="11"/>
  <c r="O79" i="11"/>
  <c r="P79" i="11"/>
  <c r="L80" i="11"/>
  <c r="O80" i="11" s="1"/>
  <c r="M80" i="11"/>
  <c r="M78" i="11" s="1"/>
  <c r="P78" i="11" s="1"/>
  <c r="N80" i="11"/>
  <c r="N78" i="11" s="1"/>
  <c r="J82" i="11"/>
  <c r="J70" i="11" s="1"/>
  <c r="J83" i="11"/>
  <c r="J71" i="11" s="1"/>
  <c r="I84" i="11"/>
  <c r="I85" i="11"/>
  <c r="I86" i="11"/>
  <c r="K86" i="11" s="1"/>
  <c r="I87" i="11"/>
  <c r="K87" i="11" s="1"/>
  <c r="I88" i="11"/>
  <c r="K88" i="11" s="1"/>
  <c r="I89" i="11"/>
  <c r="K89" i="11" s="1"/>
  <c r="I90" i="11"/>
  <c r="K90" i="11" s="1"/>
  <c r="J92" i="11"/>
  <c r="J93" i="11"/>
  <c r="L95" i="11"/>
  <c r="O95" i="11" s="1"/>
  <c r="M95" i="11"/>
  <c r="N95" i="11"/>
  <c r="O98" i="11"/>
  <c r="P98" i="11"/>
  <c r="L99" i="11"/>
  <c r="M99" i="11"/>
  <c r="M97" i="11" s="1"/>
  <c r="P97" i="11" s="1"/>
  <c r="N99" i="11"/>
  <c r="N97" i="11" s="1"/>
  <c r="O101" i="11"/>
  <c r="P101" i="11"/>
  <c r="L102" i="11"/>
  <c r="O102" i="11" s="1"/>
  <c r="M102" i="11"/>
  <c r="P102" i="11" s="1"/>
  <c r="N102" i="11"/>
  <c r="I108" i="11"/>
  <c r="I92" i="11" s="1"/>
  <c r="K92" i="11" s="1"/>
  <c r="I109" i="11"/>
  <c r="I93" i="11" s="1"/>
  <c r="K93" i="11" s="1"/>
  <c r="I117" i="11"/>
  <c r="K117" i="11" s="1"/>
  <c r="L126" i="11"/>
  <c r="O126" i="11" s="1"/>
  <c r="M126" i="11"/>
  <c r="N126" i="11"/>
  <c r="O129" i="11"/>
  <c r="P129" i="11"/>
  <c r="L130" i="11"/>
  <c r="L128" i="11" s="1"/>
  <c r="O128" i="11" s="1"/>
  <c r="M130" i="11"/>
  <c r="N130" i="11"/>
  <c r="N128" i="11" s="1"/>
  <c r="O132" i="11"/>
  <c r="P132" i="11"/>
  <c r="L133" i="11"/>
  <c r="L131" i="11" s="1"/>
  <c r="O131" i="11" s="1"/>
  <c r="M133" i="11"/>
  <c r="M131" i="11" s="1"/>
  <c r="P131" i="11" s="1"/>
  <c r="N133" i="11"/>
  <c r="N131" i="11" s="1"/>
  <c r="J136" i="11"/>
  <c r="J137" i="11"/>
  <c r="J138" i="11"/>
  <c r="L140" i="11"/>
  <c r="M140" i="11"/>
  <c r="P140" i="11" s="1"/>
  <c r="N140" i="11"/>
  <c r="O140" i="11"/>
  <c r="O143" i="11"/>
  <c r="P143" i="11"/>
  <c r="L144" i="11"/>
  <c r="M144" i="11"/>
  <c r="N144" i="11"/>
  <c r="N142" i="11" s="1"/>
  <c r="O146" i="11"/>
  <c r="P146" i="11"/>
  <c r="L147" i="11"/>
  <c r="O147" i="11" s="1"/>
  <c r="M147" i="11"/>
  <c r="M145" i="11" s="1"/>
  <c r="P145" i="11" s="1"/>
  <c r="N147" i="11"/>
  <c r="N145" i="11" s="1"/>
  <c r="I150" i="11"/>
  <c r="K150" i="11" s="1"/>
  <c r="I151" i="11"/>
  <c r="K151" i="11" s="1"/>
  <c r="I152" i="11"/>
  <c r="K152" i="11" s="1"/>
  <c r="I153" i="11"/>
  <c r="I138" i="11" s="1"/>
  <c r="K138" i="11" s="1"/>
  <c r="I154" i="11"/>
  <c r="I136" i="11" s="1"/>
  <c r="K136" i="11" s="1"/>
  <c r="J156" i="11"/>
  <c r="L158" i="11"/>
  <c r="M158" i="11"/>
  <c r="N158" i="11"/>
  <c r="P158" i="11"/>
  <c r="O161" i="11"/>
  <c r="P161" i="11"/>
  <c r="L162" i="11"/>
  <c r="L160" i="11" s="1"/>
  <c r="M162" i="11"/>
  <c r="M160" i="11" s="1"/>
  <c r="P160" i="11" s="1"/>
  <c r="N162" i="11"/>
  <c r="N160" i="11" s="1"/>
  <c r="O164" i="11"/>
  <c r="P164" i="11"/>
  <c r="L165" i="11"/>
  <c r="O165" i="11" s="1"/>
  <c r="M165" i="11"/>
  <c r="M163" i="11" s="1"/>
  <c r="P163" i="11" s="1"/>
  <c r="N165" i="11"/>
  <c r="N163" i="11" s="1"/>
  <c r="I167" i="11"/>
  <c r="I168" i="11" s="1"/>
  <c r="K168" i="11" s="1"/>
  <c r="J172" i="11"/>
  <c r="L174" i="11"/>
  <c r="M174" i="11"/>
  <c r="P174" i="11" s="1"/>
  <c r="N174" i="11"/>
  <c r="O177" i="11"/>
  <c r="P177" i="11"/>
  <c r="L178" i="11"/>
  <c r="L176" i="11" s="1"/>
  <c r="M178" i="11"/>
  <c r="M176" i="11" s="1"/>
  <c r="N178" i="11"/>
  <c r="N176" i="11" s="1"/>
  <c r="O180" i="11"/>
  <c r="P180" i="11"/>
  <c r="L181" i="11"/>
  <c r="O181" i="11" s="1"/>
  <c r="M181" i="11"/>
  <c r="M179" i="11" s="1"/>
  <c r="P179" i="11" s="1"/>
  <c r="N181" i="11"/>
  <c r="N179" i="11" s="1"/>
  <c r="I183" i="11"/>
  <c r="K183" i="11" s="1"/>
  <c r="K184" i="11"/>
  <c r="L187" i="11"/>
  <c r="M187" i="11"/>
  <c r="N187" i="11"/>
  <c r="O187" i="11"/>
  <c r="O190" i="11"/>
  <c r="P190" i="11"/>
  <c r="L191" i="11"/>
  <c r="M191" i="11"/>
  <c r="M189" i="11" s="1"/>
  <c r="N191" i="11"/>
  <c r="N189" i="11" s="1"/>
  <c r="O193" i="11"/>
  <c r="P193" i="11"/>
  <c r="L194" i="11"/>
  <c r="L192" i="11" s="1"/>
  <c r="O192" i="11" s="1"/>
  <c r="M194" i="11"/>
  <c r="M192" i="11" s="1"/>
  <c r="P192" i="11" s="1"/>
  <c r="N194" i="11"/>
  <c r="N192" i="11" s="1"/>
  <c r="J195" i="11"/>
  <c r="L196" i="11"/>
  <c r="O196" i="11" s="1"/>
  <c r="P196" i="11"/>
  <c r="I198" i="11"/>
  <c r="K198" i="11" s="1"/>
  <c r="J199" i="11"/>
  <c r="J202" i="11"/>
  <c r="N203" i="11"/>
  <c r="P203" i="11"/>
  <c r="L204" i="11"/>
  <c r="L205" i="11"/>
  <c r="L206" i="11"/>
  <c r="L207" i="11"/>
  <c r="I209" i="11"/>
  <c r="I211" i="11"/>
  <c r="K211" i="11" s="1"/>
  <c r="I212" i="11"/>
  <c r="K212" i="11" s="1"/>
  <c r="J213" i="11"/>
  <c r="N214" i="11"/>
  <c r="P214" i="11"/>
  <c r="L215" i="11"/>
  <c r="L216" i="11"/>
  <c r="L217" i="11"/>
  <c r="I219" i="11"/>
  <c r="K219" i="11" s="1"/>
  <c r="I220" i="11"/>
  <c r="K220" i="11" s="1"/>
  <c r="J221" i="11"/>
  <c r="N222" i="11"/>
  <c r="P222" i="11"/>
  <c r="L223" i="11"/>
  <c r="L224" i="11"/>
  <c r="L225" i="11"/>
  <c r="I228" i="11"/>
  <c r="K228" i="11" s="1"/>
  <c r="I229" i="11"/>
  <c r="K229" i="11" s="1"/>
  <c r="I230" i="11"/>
  <c r="N233" i="11"/>
  <c r="N234" i="11"/>
  <c r="N235" i="11"/>
  <c r="N236" i="11"/>
  <c r="J238" i="11"/>
  <c r="I240" i="11"/>
  <c r="K240" i="11" s="1"/>
  <c r="J240" i="11"/>
  <c r="I241" i="11"/>
  <c r="K241" i="11" s="1"/>
  <c r="J241" i="11"/>
  <c r="J242" i="11"/>
  <c r="N243" i="11"/>
  <c r="N232" i="11" s="1"/>
  <c r="P243" i="11"/>
  <c r="L244" i="11"/>
  <c r="L245" i="11"/>
  <c r="L246" i="11"/>
  <c r="L247" i="11"/>
  <c r="I249" i="11"/>
  <c r="I242" i="11" s="1"/>
  <c r="K251" i="11"/>
  <c r="K252" i="11"/>
  <c r="J253" i="11"/>
  <c r="J231" i="11" s="1"/>
  <c r="J185" i="11" s="1"/>
  <c r="N254" i="11"/>
  <c r="P254" i="11"/>
  <c r="L255" i="11"/>
  <c r="L256" i="11"/>
  <c r="L257" i="11"/>
  <c r="L258" i="11"/>
  <c r="I260" i="11"/>
  <c r="I253" i="11" s="1"/>
  <c r="K253" i="11" s="1"/>
  <c r="K262" i="11"/>
  <c r="K263" i="11"/>
  <c r="I265" i="11"/>
  <c r="K265" i="11" s="1"/>
  <c r="J265" i="11"/>
  <c r="L267" i="11"/>
  <c r="O267" i="11" s="1"/>
  <c r="M267" i="11"/>
  <c r="N267" i="11"/>
  <c r="O270" i="11"/>
  <c r="P270" i="11"/>
  <c r="L271" i="11"/>
  <c r="L269" i="11" s="1"/>
  <c r="O269" i="11" s="1"/>
  <c r="M271" i="11"/>
  <c r="M269" i="11" s="1"/>
  <c r="P269" i="11" s="1"/>
  <c r="N271" i="11"/>
  <c r="N269" i="11" s="1"/>
  <c r="O273" i="11"/>
  <c r="P273" i="11"/>
  <c r="L274" i="11"/>
  <c r="L272" i="11" s="1"/>
  <c r="O272" i="11" s="1"/>
  <c r="M274" i="11"/>
  <c r="M272" i="11" s="1"/>
  <c r="P272" i="11" s="1"/>
  <c r="N274" i="11"/>
  <c r="N272" i="11" s="1"/>
  <c r="J281" i="11"/>
  <c r="L283" i="11"/>
  <c r="O283" i="11" s="1"/>
  <c r="M283" i="11"/>
  <c r="N283" i="11"/>
  <c r="P283" i="11"/>
  <c r="O286" i="11"/>
  <c r="P286" i="11"/>
  <c r="L287" i="11"/>
  <c r="M287" i="11"/>
  <c r="N287" i="11"/>
  <c r="N285" i="11" s="1"/>
  <c r="O289" i="11"/>
  <c r="P289" i="11"/>
  <c r="L290" i="11"/>
  <c r="O290" i="11" s="1"/>
  <c r="M290" i="11"/>
  <c r="M288" i="11" s="1"/>
  <c r="P288" i="11" s="1"/>
  <c r="N290" i="11"/>
  <c r="N288" i="11" s="1"/>
  <c r="I292" i="11"/>
  <c r="I281" i="11" s="1"/>
  <c r="K281" i="11" s="1"/>
  <c r="I293" i="11"/>
  <c r="K293" i="11" s="1"/>
  <c r="J293" i="11"/>
  <c r="J280" i="11" s="1"/>
  <c r="I295" i="11"/>
  <c r="K295" i="11" s="1"/>
  <c r="I296" i="11"/>
  <c r="K296" i="11" s="1"/>
  <c r="J302" i="11"/>
  <c r="L304" i="11"/>
  <c r="O304" i="11" s="1"/>
  <c r="M304" i="11"/>
  <c r="N304" i="11"/>
  <c r="O307" i="11"/>
  <c r="P307" i="11"/>
  <c r="L308" i="11"/>
  <c r="L306" i="11" s="1"/>
  <c r="O306" i="11" s="1"/>
  <c r="M308" i="11"/>
  <c r="M306" i="11" s="1"/>
  <c r="P306" i="11" s="1"/>
  <c r="N308" i="11"/>
  <c r="N306" i="11" s="1"/>
  <c r="O310" i="11"/>
  <c r="P310" i="11"/>
  <c r="L311" i="11"/>
  <c r="O311" i="11" s="1"/>
  <c r="M311" i="11"/>
  <c r="M309" i="11" s="1"/>
  <c r="P309" i="11" s="1"/>
  <c r="N311" i="11"/>
  <c r="N309" i="11" s="1"/>
  <c r="I314" i="11"/>
  <c r="I315" i="11"/>
  <c r="K315" i="11" s="1"/>
  <c r="I316" i="11"/>
  <c r="K316" i="11" s="1"/>
  <c r="I317" i="11"/>
  <c r="K317" i="11" s="1"/>
  <c r="J319" i="11"/>
  <c r="L321" i="11"/>
  <c r="M321" i="11"/>
  <c r="N321" i="11"/>
  <c r="O324" i="11"/>
  <c r="P324" i="11"/>
  <c r="L325" i="11"/>
  <c r="O325" i="11" s="1"/>
  <c r="M325" i="11"/>
  <c r="N325" i="11"/>
  <c r="N323" i="11" s="1"/>
  <c r="O327" i="11"/>
  <c r="P327" i="11"/>
  <c r="L328" i="11"/>
  <c r="O328" i="11" s="1"/>
  <c r="M328" i="11"/>
  <c r="N328" i="11"/>
  <c r="N326" i="11" s="1"/>
  <c r="I330" i="11"/>
  <c r="I319" i="11" s="1"/>
  <c r="K319" i="11" s="1"/>
  <c r="L334" i="11"/>
  <c r="O334" i="11" s="1"/>
  <c r="M334" i="11"/>
  <c r="N334" i="11"/>
  <c r="P334" i="11"/>
  <c r="O337" i="11"/>
  <c r="P337" i="11"/>
  <c r="L338" i="11"/>
  <c r="M338" i="11"/>
  <c r="N338" i="11"/>
  <c r="N336" i="11" s="1"/>
  <c r="O340" i="11"/>
  <c r="P340" i="11"/>
  <c r="L341" i="11"/>
  <c r="O341" i="11" s="1"/>
  <c r="M341" i="11"/>
  <c r="M339" i="11" s="1"/>
  <c r="P339" i="11" s="1"/>
  <c r="N341" i="11"/>
  <c r="N339" i="11" s="1"/>
  <c r="I344" i="11"/>
  <c r="J344" i="11"/>
  <c r="I346" i="11"/>
  <c r="J346" i="11"/>
  <c r="J347" i="11"/>
  <c r="J348" i="11"/>
  <c r="J349" i="11"/>
  <c r="D350" i="11"/>
  <c r="J352" i="11"/>
  <c r="J353" i="11"/>
  <c r="D354" i="11"/>
  <c r="L357" i="11"/>
  <c r="O357" i="11" s="1"/>
  <c r="M357" i="11"/>
  <c r="P357" i="11" s="1"/>
  <c r="N357" i="11"/>
  <c r="O360" i="11"/>
  <c r="P360" i="11"/>
  <c r="L361" i="11"/>
  <c r="M361" i="11"/>
  <c r="M359" i="11" s="1"/>
  <c r="N361" i="11"/>
  <c r="N359" i="11" s="1"/>
  <c r="O363" i="11"/>
  <c r="P363" i="11"/>
  <c r="L364" i="11"/>
  <c r="O364" i="11" s="1"/>
  <c r="M364" i="11"/>
  <c r="M362" i="11" s="1"/>
  <c r="P362" i="11" s="1"/>
  <c r="N364" i="11"/>
  <c r="N362" i="11" s="1"/>
  <c r="J367" i="11"/>
  <c r="K367" i="11"/>
  <c r="I368" i="11"/>
  <c r="J368" i="11"/>
  <c r="I369" i="11"/>
  <c r="J369" i="11"/>
  <c r="J370" i="11"/>
  <c r="K370" i="11"/>
  <c r="I371" i="11"/>
  <c r="J371" i="11"/>
  <c r="J365" i="11" s="1"/>
  <c r="J372" i="11"/>
  <c r="K372" i="11"/>
  <c r="D373" i="11"/>
  <c r="I376" i="11"/>
  <c r="K376" i="11" s="1"/>
  <c r="J376" i="11"/>
  <c r="L378" i="11"/>
  <c r="O378" i="11" s="1"/>
  <c r="M378" i="11"/>
  <c r="N378" i="11"/>
  <c r="P378" i="11"/>
  <c r="O381" i="11"/>
  <c r="P381" i="11"/>
  <c r="L382" i="11"/>
  <c r="O382" i="11" s="1"/>
  <c r="M382" i="11"/>
  <c r="P382" i="11" s="1"/>
  <c r="N382" i="11"/>
  <c r="O384" i="11"/>
  <c r="P384" i="11"/>
  <c r="L385" i="11"/>
  <c r="L383" i="11" s="1"/>
  <c r="O383" i="11" s="1"/>
  <c r="M385" i="11"/>
  <c r="M383" i="11" s="1"/>
  <c r="P383" i="11" s="1"/>
  <c r="N385" i="11"/>
  <c r="N383" i="11" s="1"/>
  <c r="K387" i="11"/>
  <c r="K388" i="11"/>
  <c r="A391" i="11"/>
  <c r="L22" i="10"/>
  <c r="O22" i="10" s="1"/>
  <c r="M22" i="10"/>
  <c r="N22" i="10"/>
  <c r="N19" i="10" s="1"/>
  <c r="P22" i="10"/>
  <c r="L25" i="10"/>
  <c r="M25" i="10"/>
  <c r="N25" i="10"/>
  <c r="L45" i="10"/>
  <c r="M45" i="10"/>
  <c r="N45" i="10"/>
  <c r="O45" i="10"/>
  <c r="P45" i="10"/>
  <c r="O48" i="10"/>
  <c r="P48" i="10"/>
  <c r="L49" i="10"/>
  <c r="M49" i="10"/>
  <c r="M47" i="10" s="1"/>
  <c r="N49" i="10"/>
  <c r="N47" i="10" s="1"/>
  <c r="O51" i="10"/>
  <c r="P51" i="10"/>
  <c r="L52" i="10"/>
  <c r="O52" i="10" s="1"/>
  <c r="M52" i="10"/>
  <c r="P52" i="10" s="1"/>
  <c r="N52" i="10"/>
  <c r="L60" i="10"/>
  <c r="O60" i="10" s="1"/>
  <c r="M60" i="10"/>
  <c r="N60" i="10"/>
  <c r="O63" i="10"/>
  <c r="P63" i="10"/>
  <c r="L64" i="10"/>
  <c r="M64" i="10"/>
  <c r="M62" i="10" s="1"/>
  <c r="N64" i="10"/>
  <c r="O66" i="10"/>
  <c r="P66" i="10"/>
  <c r="L67" i="10"/>
  <c r="O67" i="10" s="1"/>
  <c r="M67" i="10"/>
  <c r="M65" i="10" s="1"/>
  <c r="P65" i="10" s="1"/>
  <c r="N67" i="10"/>
  <c r="N65" i="10" s="1"/>
  <c r="J71" i="10"/>
  <c r="L73" i="10"/>
  <c r="O73" i="10" s="1"/>
  <c r="M73" i="10"/>
  <c r="P73" i="10" s="1"/>
  <c r="N73" i="10"/>
  <c r="O76" i="10"/>
  <c r="P76" i="10"/>
  <c r="L77" i="10"/>
  <c r="L75" i="10" s="1"/>
  <c r="O75" i="10" s="1"/>
  <c r="M77" i="10"/>
  <c r="M75" i="10" s="1"/>
  <c r="P75" i="10" s="1"/>
  <c r="N77" i="10"/>
  <c r="N75" i="10" s="1"/>
  <c r="O79" i="10"/>
  <c r="P79" i="10"/>
  <c r="L80" i="10"/>
  <c r="O80" i="10" s="1"/>
  <c r="M80" i="10"/>
  <c r="P80" i="10" s="1"/>
  <c r="N80" i="10"/>
  <c r="N78" i="10" s="1"/>
  <c r="J82" i="10"/>
  <c r="J70" i="10" s="1"/>
  <c r="J83" i="10"/>
  <c r="I84" i="10"/>
  <c r="K84" i="10" s="1"/>
  <c r="I85" i="10"/>
  <c r="K85" i="10" s="1"/>
  <c r="I86" i="10"/>
  <c r="K86" i="10" s="1"/>
  <c r="I87" i="10"/>
  <c r="I88" i="10"/>
  <c r="K88" i="10" s="1"/>
  <c r="I89" i="10"/>
  <c r="K89" i="10" s="1"/>
  <c r="I90" i="10"/>
  <c r="K90" i="10" s="1"/>
  <c r="J92" i="10"/>
  <c r="J93" i="10"/>
  <c r="L95" i="10"/>
  <c r="M95" i="10"/>
  <c r="P95" i="10" s="1"/>
  <c r="N95" i="10"/>
  <c r="O98" i="10"/>
  <c r="P98" i="10"/>
  <c r="L99" i="10"/>
  <c r="M99" i="10"/>
  <c r="M97" i="10" s="1"/>
  <c r="P97" i="10" s="1"/>
  <c r="N99" i="10"/>
  <c r="N97" i="10" s="1"/>
  <c r="O101" i="10"/>
  <c r="P101" i="10"/>
  <c r="L102" i="10"/>
  <c r="M102" i="10"/>
  <c r="P102" i="10" s="1"/>
  <c r="N102" i="10"/>
  <c r="N100" i="10" s="1"/>
  <c r="I108" i="10"/>
  <c r="I109" i="10"/>
  <c r="K109" i="10" s="1"/>
  <c r="I117" i="10"/>
  <c r="K117" i="10" s="1"/>
  <c r="L126" i="10"/>
  <c r="M126" i="10"/>
  <c r="N126" i="10"/>
  <c r="O126" i="10"/>
  <c r="P126" i="10"/>
  <c r="O129" i="10"/>
  <c r="P129" i="10"/>
  <c r="L130" i="10"/>
  <c r="L128" i="10" s="1"/>
  <c r="O128" i="10" s="1"/>
  <c r="M130" i="10"/>
  <c r="N130" i="10"/>
  <c r="N128" i="10" s="1"/>
  <c r="O132" i="10"/>
  <c r="P132" i="10"/>
  <c r="L133" i="10"/>
  <c r="L131" i="10" s="1"/>
  <c r="O131" i="10" s="1"/>
  <c r="M133" i="10"/>
  <c r="M131" i="10" s="1"/>
  <c r="P131" i="10" s="1"/>
  <c r="N133" i="10"/>
  <c r="N131" i="10" s="1"/>
  <c r="J136" i="10"/>
  <c r="J137" i="10"/>
  <c r="J138" i="10"/>
  <c r="L140" i="10"/>
  <c r="M140" i="10"/>
  <c r="P140" i="10" s="1"/>
  <c r="N140" i="10"/>
  <c r="O140" i="10"/>
  <c r="O143" i="10"/>
  <c r="P143" i="10"/>
  <c r="L144" i="10"/>
  <c r="L142" i="10" s="1"/>
  <c r="O142" i="10" s="1"/>
  <c r="M144" i="10"/>
  <c r="M142" i="10" s="1"/>
  <c r="P142" i="10" s="1"/>
  <c r="N144" i="10"/>
  <c r="N142" i="10" s="1"/>
  <c r="O146" i="10"/>
  <c r="P146" i="10"/>
  <c r="L147" i="10"/>
  <c r="L145" i="10" s="1"/>
  <c r="O145" i="10" s="1"/>
  <c r="M147" i="10"/>
  <c r="P147" i="10" s="1"/>
  <c r="N147" i="10"/>
  <c r="N145" i="10" s="1"/>
  <c r="I150" i="10"/>
  <c r="K150" i="10" s="1"/>
  <c r="I151" i="10"/>
  <c r="K151" i="10" s="1"/>
  <c r="I152" i="10"/>
  <c r="I153" i="10"/>
  <c r="I138" i="10" s="1"/>
  <c r="K138" i="10" s="1"/>
  <c r="I154" i="10"/>
  <c r="I136" i="10" s="1"/>
  <c r="K136" i="10" s="1"/>
  <c r="J156" i="10"/>
  <c r="L158" i="10"/>
  <c r="O158" i="10" s="1"/>
  <c r="M158" i="10"/>
  <c r="N158" i="10"/>
  <c r="P158" i="10"/>
  <c r="O161" i="10"/>
  <c r="P161" i="10"/>
  <c r="L162" i="10"/>
  <c r="L160" i="10" s="1"/>
  <c r="O160" i="10" s="1"/>
  <c r="M162" i="10"/>
  <c r="N162" i="10"/>
  <c r="N160" i="10" s="1"/>
  <c r="O164" i="10"/>
  <c r="P164" i="10"/>
  <c r="L165" i="10"/>
  <c r="O165" i="10" s="1"/>
  <c r="M165" i="10"/>
  <c r="P165" i="10" s="1"/>
  <c r="N165" i="10"/>
  <c r="N163" i="10" s="1"/>
  <c r="I167" i="10"/>
  <c r="K167" i="10" s="1"/>
  <c r="I168" i="10"/>
  <c r="K168" i="10" s="1"/>
  <c r="I169" i="10"/>
  <c r="K169" i="10" s="1"/>
  <c r="J172" i="10"/>
  <c r="L174" i="10"/>
  <c r="O174" i="10" s="1"/>
  <c r="M174" i="10"/>
  <c r="P174" i="10" s="1"/>
  <c r="N174" i="10"/>
  <c r="O177" i="10"/>
  <c r="P177" i="10"/>
  <c r="L178" i="10"/>
  <c r="M178" i="10"/>
  <c r="M176" i="10" s="1"/>
  <c r="N178" i="10"/>
  <c r="N176" i="10" s="1"/>
  <c r="O180" i="10"/>
  <c r="P180" i="10"/>
  <c r="L181" i="10"/>
  <c r="O181" i="10" s="1"/>
  <c r="M181" i="10"/>
  <c r="M179" i="10" s="1"/>
  <c r="P179" i="10" s="1"/>
  <c r="N181" i="10"/>
  <c r="N179" i="10" s="1"/>
  <c r="I183" i="10"/>
  <c r="K183" i="10" s="1"/>
  <c r="K184" i="10"/>
  <c r="L187" i="10"/>
  <c r="O187" i="10" s="1"/>
  <c r="M187" i="10"/>
  <c r="N187" i="10"/>
  <c r="O190" i="10"/>
  <c r="P190" i="10"/>
  <c r="L191" i="10"/>
  <c r="L189" i="10" s="1"/>
  <c r="M191" i="10"/>
  <c r="M189" i="10" s="1"/>
  <c r="N191" i="10"/>
  <c r="O193" i="10"/>
  <c r="P193" i="10"/>
  <c r="L194" i="10"/>
  <c r="L192" i="10" s="1"/>
  <c r="O192" i="10" s="1"/>
  <c r="M194" i="10"/>
  <c r="M192" i="10" s="1"/>
  <c r="P192" i="10" s="1"/>
  <c r="N194" i="10"/>
  <c r="N192" i="10" s="1"/>
  <c r="J195" i="10"/>
  <c r="L196" i="10"/>
  <c r="O196" i="10" s="1"/>
  <c r="P196" i="10"/>
  <c r="I198" i="10"/>
  <c r="I195" i="10" s="1"/>
  <c r="J199" i="10"/>
  <c r="J202" i="10"/>
  <c r="N203" i="10"/>
  <c r="P203" i="10"/>
  <c r="L204" i="10"/>
  <c r="L205" i="10"/>
  <c r="L206" i="10"/>
  <c r="L207" i="10"/>
  <c r="I209" i="10"/>
  <c r="I211" i="10"/>
  <c r="K211" i="10" s="1"/>
  <c r="I212" i="10"/>
  <c r="K212" i="10" s="1"/>
  <c r="J213" i="10"/>
  <c r="N214" i="10"/>
  <c r="P214" i="10"/>
  <c r="L215" i="10"/>
  <c r="L216" i="10"/>
  <c r="L217" i="10"/>
  <c r="I219" i="10"/>
  <c r="K219" i="10" s="1"/>
  <c r="I220" i="10"/>
  <c r="J221" i="10"/>
  <c r="N222" i="10"/>
  <c r="P222" i="10"/>
  <c r="L223" i="10"/>
  <c r="L224" i="10"/>
  <c r="L225" i="10"/>
  <c r="I228" i="10"/>
  <c r="K228" i="10" s="1"/>
  <c r="I229" i="10"/>
  <c r="I221" i="10" s="1"/>
  <c r="K221" i="10" s="1"/>
  <c r="I230" i="10"/>
  <c r="N233" i="10"/>
  <c r="N234" i="10"/>
  <c r="N235" i="10"/>
  <c r="N236" i="10"/>
  <c r="J238" i="10"/>
  <c r="J240" i="10"/>
  <c r="J241" i="10"/>
  <c r="J242" i="10"/>
  <c r="J231" i="10" s="1"/>
  <c r="J185" i="10" s="1"/>
  <c r="N243" i="10"/>
  <c r="P243" i="10"/>
  <c r="L244" i="10"/>
  <c r="L245" i="10"/>
  <c r="L246" i="10"/>
  <c r="L247" i="10"/>
  <c r="I249" i="10"/>
  <c r="I242" i="10" s="1"/>
  <c r="I251" i="10"/>
  <c r="I240" i="10" s="1"/>
  <c r="I252" i="10"/>
  <c r="K252" i="10" s="1"/>
  <c r="J253" i="10"/>
  <c r="N254" i="10"/>
  <c r="P254" i="10"/>
  <c r="L255" i="10"/>
  <c r="L256" i="10"/>
  <c r="L257" i="10"/>
  <c r="L258" i="10"/>
  <c r="I260" i="10"/>
  <c r="I253" i="10" s="1"/>
  <c r="K253" i="10" s="1"/>
  <c r="K262" i="10"/>
  <c r="K263" i="10"/>
  <c r="I265" i="10"/>
  <c r="J265" i="10"/>
  <c r="K265" i="10"/>
  <c r="L267" i="10"/>
  <c r="M267" i="10"/>
  <c r="P267" i="10" s="1"/>
  <c r="N267" i="10"/>
  <c r="O270" i="10"/>
  <c r="P270" i="10"/>
  <c r="L271" i="10"/>
  <c r="M271" i="10"/>
  <c r="M269" i="10" s="1"/>
  <c r="P269" i="10" s="1"/>
  <c r="N271" i="10"/>
  <c r="N269" i="10" s="1"/>
  <c r="O273" i="10"/>
  <c r="P273" i="10"/>
  <c r="L274" i="10"/>
  <c r="M274" i="10"/>
  <c r="P274" i="10" s="1"/>
  <c r="N274" i="10"/>
  <c r="N272" i="10" s="1"/>
  <c r="J281" i="10"/>
  <c r="L283" i="10"/>
  <c r="O283" i="10" s="1"/>
  <c r="M283" i="10"/>
  <c r="P283" i="10" s="1"/>
  <c r="N283" i="10"/>
  <c r="O286" i="10"/>
  <c r="P286" i="10"/>
  <c r="L287" i="10"/>
  <c r="L285" i="10" s="1"/>
  <c r="O285" i="10" s="1"/>
  <c r="M287" i="10"/>
  <c r="M285" i="10" s="1"/>
  <c r="P285" i="10" s="1"/>
  <c r="N287" i="10"/>
  <c r="N285" i="10" s="1"/>
  <c r="O289" i="10"/>
  <c r="P289" i="10"/>
  <c r="L290" i="10"/>
  <c r="L288" i="10" s="1"/>
  <c r="O288" i="10" s="1"/>
  <c r="M290" i="10"/>
  <c r="M288" i="10" s="1"/>
  <c r="P288" i="10" s="1"/>
  <c r="N290" i="10"/>
  <c r="N288" i="10" s="1"/>
  <c r="I292" i="10"/>
  <c r="I281" i="10" s="1"/>
  <c r="K281" i="10" s="1"/>
  <c r="I293" i="10"/>
  <c r="I280" i="10" s="1"/>
  <c r="K280" i="10" s="1"/>
  <c r="J293" i="10"/>
  <c r="J280" i="10" s="1"/>
  <c r="I295" i="10"/>
  <c r="K295" i="10" s="1"/>
  <c r="I296" i="10"/>
  <c r="K296" i="10" s="1"/>
  <c r="J302" i="10"/>
  <c r="L304" i="10"/>
  <c r="M304" i="10"/>
  <c r="N304" i="10"/>
  <c r="O307" i="10"/>
  <c r="P307" i="10"/>
  <c r="L308" i="10"/>
  <c r="L306" i="10" s="1"/>
  <c r="O306" i="10" s="1"/>
  <c r="M308" i="10"/>
  <c r="N308" i="10"/>
  <c r="N306" i="10" s="1"/>
  <c r="O310" i="10"/>
  <c r="P310" i="10"/>
  <c r="L311" i="10"/>
  <c r="L309" i="10" s="1"/>
  <c r="O309" i="10" s="1"/>
  <c r="M311" i="10"/>
  <c r="P311" i="10" s="1"/>
  <c r="N311" i="10"/>
  <c r="N309" i="10" s="1"/>
  <c r="I314" i="10"/>
  <c r="I302" i="10" s="1"/>
  <c r="K302" i="10" s="1"/>
  <c r="I315" i="10"/>
  <c r="K315" i="10" s="1"/>
  <c r="I316" i="10"/>
  <c r="K316" i="10" s="1"/>
  <c r="I317" i="10"/>
  <c r="K317" i="10" s="1"/>
  <c r="J319" i="10"/>
  <c r="L321" i="10"/>
  <c r="O321" i="10" s="1"/>
  <c r="M321" i="10"/>
  <c r="P321" i="10" s="1"/>
  <c r="N321" i="10"/>
  <c r="O324" i="10"/>
  <c r="P324" i="10"/>
  <c r="L325" i="10"/>
  <c r="M325" i="10"/>
  <c r="N325" i="10"/>
  <c r="N323" i="10" s="1"/>
  <c r="O327" i="10"/>
  <c r="P327" i="10"/>
  <c r="L328" i="10"/>
  <c r="O328" i="10" s="1"/>
  <c r="M328" i="10"/>
  <c r="M326" i="10" s="1"/>
  <c r="P326" i="10" s="1"/>
  <c r="N328" i="10"/>
  <c r="N326" i="10" s="1"/>
  <c r="I330" i="10"/>
  <c r="I319" i="10" s="1"/>
  <c r="K319" i="10" s="1"/>
  <c r="L334" i="10"/>
  <c r="O334" i="10" s="1"/>
  <c r="M334" i="10"/>
  <c r="P334" i="10" s="1"/>
  <c r="N334" i="10"/>
  <c r="O337" i="10"/>
  <c r="P337" i="10"/>
  <c r="L338" i="10"/>
  <c r="L336" i="10" s="1"/>
  <c r="M338" i="10"/>
  <c r="M336" i="10" s="1"/>
  <c r="N338" i="10"/>
  <c r="N336" i="10" s="1"/>
  <c r="O340" i="10"/>
  <c r="P340" i="10"/>
  <c r="L341" i="10"/>
  <c r="O341" i="10" s="1"/>
  <c r="M341" i="10"/>
  <c r="N341" i="10"/>
  <c r="N339" i="10" s="1"/>
  <c r="I344" i="10"/>
  <c r="J344" i="10"/>
  <c r="I346" i="10"/>
  <c r="J346" i="10"/>
  <c r="J347" i="10"/>
  <c r="J348" i="10"/>
  <c r="J349" i="10"/>
  <c r="D350" i="10"/>
  <c r="J352" i="10"/>
  <c r="J353" i="10"/>
  <c r="D354" i="10"/>
  <c r="L357" i="10"/>
  <c r="M357" i="10"/>
  <c r="N357" i="10"/>
  <c r="O357" i="10"/>
  <c r="P357" i="10"/>
  <c r="O360" i="10"/>
  <c r="P360" i="10"/>
  <c r="L361" i="10"/>
  <c r="L359" i="10" s="1"/>
  <c r="M361" i="10"/>
  <c r="N361" i="10"/>
  <c r="N359" i="10" s="1"/>
  <c r="O363" i="10"/>
  <c r="P363" i="10"/>
  <c r="L364" i="10"/>
  <c r="O364" i="10" s="1"/>
  <c r="M364" i="10"/>
  <c r="M362" i="10" s="1"/>
  <c r="P362" i="10" s="1"/>
  <c r="N364" i="10"/>
  <c r="N362" i="10" s="1"/>
  <c r="J367" i="10"/>
  <c r="K367" i="10"/>
  <c r="I368" i="10"/>
  <c r="K368" i="10" s="1"/>
  <c r="J368" i="10"/>
  <c r="I369" i="10"/>
  <c r="K369" i="10" s="1"/>
  <c r="J369" i="10"/>
  <c r="J370" i="10"/>
  <c r="K370" i="10"/>
  <c r="I371" i="10"/>
  <c r="K371" i="10" s="1"/>
  <c r="J371" i="10"/>
  <c r="J365" i="10" s="1"/>
  <c r="J372" i="10"/>
  <c r="K372" i="10"/>
  <c r="D373" i="10"/>
  <c r="I376" i="10"/>
  <c r="K376" i="10" s="1"/>
  <c r="J376" i="10"/>
  <c r="L378" i="10"/>
  <c r="M378" i="10"/>
  <c r="P378" i="10" s="1"/>
  <c r="N378" i="10"/>
  <c r="O378" i="10"/>
  <c r="O381" i="10"/>
  <c r="P381" i="10"/>
  <c r="L382" i="10"/>
  <c r="L380" i="10" s="1"/>
  <c r="O380" i="10" s="1"/>
  <c r="M382" i="10"/>
  <c r="P382" i="10" s="1"/>
  <c r="N382" i="10"/>
  <c r="N380" i="10" s="1"/>
  <c r="O384" i="10"/>
  <c r="P384" i="10"/>
  <c r="L385" i="10"/>
  <c r="L383" i="10" s="1"/>
  <c r="O383" i="10" s="1"/>
  <c r="M385" i="10"/>
  <c r="P385" i="10" s="1"/>
  <c r="N385" i="10"/>
  <c r="N383" i="10" s="1"/>
  <c r="K387" i="10"/>
  <c r="K388" i="10"/>
  <c r="A391" i="10"/>
  <c r="L22" i="9"/>
  <c r="O22" i="9" s="1"/>
  <c r="M22" i="9"/>
  <c r="N22" i="9"/>
  <c r="P22" i="9"/>
  <c r="L25" i="9"/>
  <c r="O25" i="9" s="1"/>
  <c r="M25" i="9"/>
  <c r="N25" i="9"/>
  <c r="L45" i="9"/>
  <c r="M45" i="9"/>
  <c r="P45" i="9" s="1"/>
  <c r="N45" i="9"/>
  <c r="O45" i="9"/>
  <c r="O48" i="9"/>
  <c r="P48" i="9"/>
  <c r="L49" i="9"/>
  <c r="L47" i="9" s="1"/>
  <c r="M49" i="9"/>
  <c r="M47" i="9" s="1"/>
  <c r="N49" i="9"/>
  <c r="O51" i="9"/>
  <c r="P51" i="9"/>
  <c r="L52" i="9"/>
  <c r="O52" i="9" s="1"/>
  <c r="M52" i="9"/>
  <c r="M50" i="9" s="1"/>
  <c r="P50" i="9" s="1"/>
  <c r="N52" i="9"/>
  <c r="L60" i="9"/>
  <c r="O60" i="9" s="1"/>
  <c r="M60" i="9"/>
  <c r="N60" i="9"/>
  <c r="O63" i="9"/>
  <c r="P63" i="9"/>
  <c r="L64" i="9"/>
  <c r="M64" i="9"/>
  <c r="N64" i="9"/>
  <c r="O66" i="9"/>
  <c r="P66" i="9"/>
  <c r="L67" i="9"/>
  <c r="L65" i="9" s="1"/>
  <c r="O65" i="9" s="1"/>
  <c r="M67" i="9"/>
  <c r="N67" i="9"/>
  <c r="N65" i="9" s="1"/>
  <c r="J71" i="9"/>
  <c r="L73" i="9"/>
  <c r="O73" i="9" s="1"/>
  <c r="M73" i="9"/>
  <c r="N73" i="9"/>
  <c r="O76" i="9"/>
  <c r="P76" i="9"/>
  <c r="L77" i="9"/>
  <c r="L75" i="9" s="1"/>
  <c r="O75" i="9" s="1"/>
  <c r="M77" i="9"/>
  <c r="M75" i="9" s="1"/>
  <c r="P75" i="9" s="1"/>
  <c r="N77" i="9"/>
  <c r="N75" i="9" s="1"/>
  <c r="O79" i="9"/>
  <c r="P79" i="9"/>
  <c r="L80" i="9"/>
  <c r="O80" i="9" s="1"/>
  <c r="M80" i="9"/>
  <c r="N80" i="9"/>
  <c r="N78" i="9" s="1"/>
  <c r="J82" i="9"/>
  <c r="J70" i="9" s="1"/>
  <c r="J83" i="9"/>
  <c r="I84" i="9"/>
  <c r="K84" i="9" s="1"/>
  <c r="I85" i="9"/>
  <c r="K85" i="9" s="1"/>
  <c r="I86" i="9"/>
  <c r="K86" i="9" s="1"/>
  <c r="I87" i="9"/>
  <c r="K87" i="9" s="1"/>
  <c r="I88" i="9"/>
  <c r="K88" i="9" s="1"/>
  <c r="I89" i="9"/>
  <c r="K89" i="9" s="1"/>
  <c r="I90" i="9"/>
  <c r="K90" i="9" s="1"/>
  <c r="J92" i="9"/>
  <c r="J93" i="9"/>
  <c r="L95" i="9"/>
  <c r="M95" i="9"/>
  <c r="P95" i="9" s="1"/>
  <c r="N95" i="9"/>
  <c r="O98" i="9"/>
  <c r="P98" i="9"/>
  <c r="L99" i="9"/>
  <c r="L97" i="9" s="1"/>
  <c r="O97" i="9" s="1"/>
  <c r="M99" i="9"/>
  <c r="N99" i="9"/>
  <c r="O101" i="9"/>
  <c r="P101" i="9"/>
  <c r="L102" i="9"/>
  <c r="M102" i="9"/>
  <c r="P102" i="9" s="1"/>
  <c r="N102" i="9"/>
  <c r="N100" i="9" s="1"/>
  <c r="I108" i="9"/>
  <c r="I92" i="9" s="1"/>
  <c r="K92" i="9" s="1"/>
  <c r="I109" i="9"/>
  <c r="K109" i="9" s="1"/>
  <c r="I117" i="9"/>
  <c r="K117" i="9" s="1"/>
  <c r="L126" i="9"/>
  <c r="O126" i="9" s="1"/>
  <c r="M126" i="9"/>
  <c r="P126" i="9" s="1"/>
  <c r="N126" i="9"/>
  <c r="O129" i="9"/>
  <c r="P129" i="9"/>
  <c r="L130" i="9"/>
  <c r="L128" i="9" s="1"/>
  <c r="O128" i="9" s="1"/>
  <c r="M130" i="9"/>
  <c r="N130" i="9"/>
  <c r="N128" i="9" s="1"/>
  <c r="O132" i="9"/>
  <c r="P132" i="9"/>
  <c r="L133" i="9"/>
  <c r="L131" i="9" s="1"/>
  <c r="O131" i="9" s="1"/>
  <c r="M133" i="9"/>
  <c r="N133" i="9"/>
  <c r="N131" i="9" s="1"/>
  <c r="J136" i="9"/>
  <c r="J137" i="9"/>
  <c r="J138" i="9"/>
  <c r="L140" i="9"/>
  <c r="O140" i="9" s="1"/>
  <c r="M140" i="9"/>
  <c r="P140" i="9" s="1"/>
  <c r="N140" i="9"/>
  <c r="O143" i="9"/>
  <c r="P143" i="9"/>
  <c r="L144" i="9"/>
  <c r="L142" i="9" s="1"/>
  <c r="O142" i="9" s="1"/>
  <c r="M144" i="9"/>
  <c r="M142" i="9" s="1"/>
  <c r="P142" i="9" s="1"/>
  <c r="N144" i="9"/>
  <c r="N142" i="9" s="1"/>
  <c r="O146" i="9"/>
  <c r="P146" i="9"/>
  <c r="L147" i="9"/>
  <c r="L145" i="9" s="1"/>
  <c r="O145" i="9" s="1"/>
  <c r="M147" i="9"/>
  <c r="P147" i="9" s="1"/>
  <c r="N147" i="9"/>
  <c r="N145" i="9" s="1"/>
  <c r="I150" i="9"/>
  <c r="K150" i="9" s="1"/>
  <c r="I151" i="9"/>
  <c r="K151" i="9" s="1"/>
  <c r="I152" i="9"/>
  <c r="K152" i="9" s="1"/>
  <c r="I153" i="9"/>
  <c r="I138" i="9" s="1"/>
  <c r="K138" i="9" s="1"/>
  <c r="I154" i="9"/>
  <c r="I136" i="9" s="1"/>
  <c r="K136" i="9" s="1"/>
  <c r="J156" i="9"/>
  <c r="L158" i="9"/>
  <c r="M158" i="9"/>
  <c r="P158" i="9" s="1"/>
  <c r="N158" i="9"/>
  <c r="O158" i="9"/>
  <c r="O161" i="9"/>
  <c r="P161" i="9"/>
  <c r="L162" i="9"/>
  <c r="L160" i="9" s="1"/>
  <c r="O160" i="9" s="1"/>
  <c r="M162" i="9"/>
  <c r="M160" i="9" s="1"/>
  <c r="P160" i="9" s="1"/>
  <c r="N162" i="9"/>
  <c r="N160" i="9" s="1"/>
  <c r="O164" i="9"/>
  <c r="P164" i="9"/>
  <c r="L165" i="9"/>
  <c r="O165" i="9" s="1"/>
  <c r="M165" i="9"/>
  <c r="M163" i="9" s="1"/>
  <c r="P163" i="9" s="1"/>
  <c r="N165" i="9"/>
  <c r="N163" i="9" s="1"/>
  <c r="I167" i="9"/>
  <c r="K167" i="9" s="1"/>
  <c r="I168" i="9"/>
  <c r="K168" i="9" s="1"/>
  <c r="I169" i="9"/>
  <c r="I156" i="9" s="1"/>
  <c r="K156" i="9" s="1"/>
  <c r="J172" i="9"/>
  <c r="L174" i="9"/>
  <c r="M174" i="9"/>
  <c r="N174" i="9"/>
  <c r="O174" i="9"/>
  <c r="O177" i="9"/>
  <c r="P177" i="9"/>
  <c r="L178" i="9"/>
  <c r="L176" i="9" s="1"/>
  <c r="M178" i="9"/>
  <c r="M176" i="9" s="1"/>
  <c r="N178" i="9"/>
  <c r="N176" i="9" s="1"/>
  <c r="O180" i="9"/>
  <c r="P180" i="9"/>
  <c r="L181" i="9"/>
  <c r="O181" i="9" s="1"/>
  <c r="M181" i="9"/>
  <c r="M179" i="9" s="1"/>
  <c r="P179" i="9" s="1"/>
  <c r="N181" i="9"/>
  <c r="N179" i="9" s="1"/>
  <c r="I183" i="9"/>
  <c r="K184" i="9"/>
  <c r="L187" i="9"/>
  <c r="O187" i="9" s="1"/>
  <c r="M187" i="9"/>
  <c r="P187" i="9" s="1"/>
  <c r="N187" i="9"/>
  <c r="O190" i="9"/>
  <c r="P190" i="9"/>
  <c r="L191" i="9"/>
  <c r="L189" i="9" s="1"/>
  <c r="M191" i="9"/>
  <c r="N191" i="9"/>
  <c r="N189" i="9" s="1"/>
  <c r="O193" i="9"/>
  <c r="P193" i="9"/>
  <c r="L194" i="9"/>
  <c r="L192" i="9" s="1"/>
  <c r="O192" i="9" s="1"/>
  <c r="M194" i="9"/>
  <c r="N194" i="9"/>
  <c r="N192" i="9" s="1"/>
  <c r="J195" i="9"/>
  <c r="L196" i="9"/>
  <c r="O196" i="9" s="1"/>
  <c r="P196" i="9"/>
  <c r="I198" i="9"/>
  <c r="K198" i="9" s="1"/>
  <c r="J199" i="9"/>
  <c r="J202" i="9"/>
  <c r="N203" i="9"/>
  <c r="P203" i="9"/>
  <c r="L204" i="9"/>
  <c r="L205" i="9"/>
  <c r="L206" i="9"/>
  <c r="I209" i="9"/>
  <c r="I211" i="9"/>
  <c r="K211" i="9" s="1"/>
  <c r="I212" i="9"/>
  <c r="K212" i="9" s="1"/>
  <c r="J213" i="9"/>
  <c r="N214" i="9"/>
  <c r="P214" i="9"/>
  <c r="L215" i="9"/>
  <c r="L216" i="9"/>
  <c r="L217" i="9"/>
  <c r="I219" i="9"/>
  <c r="K219" i="9" s="1"/>
  <c r="I220" i="9"/>
  <c r="J221" i="9"/>
  <c r="N222" i="9"/>
  <c r="P222" i="9"/>
  <c r="L223" i="9"/>
  <c r="L224" i="9"/>
  <c r="L225" i="9"/>
  <c r="I228" i="9"/>
  <c r="K228" i="9" s="1"/>
  <c r="I229" i="9"/>
  <c r="I221" i="9" s="1"/>
  <c r="K221" i="9" s="1"/>
  <c r="I230" i="9"/>
  <c r="K230" i="9" s="1"/>
  <c r="N233" i="9"/>
  <c r="N234" i="9"/>
  <c r="N235" i="9"/>
  <c r="N236" i="9"/>
  <c r="J238" i="9"/>
  <c r="J240" i="9"/>
  <c r="J241" i="9"/>
  <c r="J242" i="9"/>
  <c r="J231" i="9" s="1"/>
  <c r="J185" i="9" s="1"/>
  <c r="N243" i="9"/>
  <c r="P243" i="9"/>
  <c r="L244" i="9"/>
  <c r="L245" i="9"/>
  <c r="L246" i="9"/>
  <c r="L247" i="9"/>
  <c r="I249" i="9"/>
  <c r="I251" i="9"/>
  <c r="I252" i="9"/>
  <c r="I241" i="9" s="1"/>
  <c r="J253" i="9"/>
  <c r="N254" i="9"/>
  <c r="P254" i="9"/>
  <c r="L255" i="9"/>
  <c r="L256" i="9"/>
  <c r="L257" i="9"/>
  <c r="L258" i="9"/>
  <c r="I260" i="9"/>
  <c r="I253" i="9" s="1"/>
  <c r="K253" i="9" s="1"/>
  <c r="K262" i="9"/>
  <c r="K263" i="9"/>
  <c r="I265" i="9"/>
  <c r="K265" i="9" s="1"/>
  <c r="J265" i="9"/>
  <c r="L267" i="9"/>
  <c r="M267" i="9"/>
  <c r="N267" i="9"/>
  <c r="O267" i="9"/>
  <c r="O270" i="9"/>
  <c r="P270" i="9"/>
  <c r="L271" i="9"/>
  <c r="O271" i="9" s="1"/>
  <c r="M271" i="9"/>
  <c r="M269" i="9" s="1"/>
  <c r="P269" i="9" s="1"/>
  <c r="N271" i="9"/>
  <c r="N269" i="9" s="1"/>
  <c r="O273" i="9"/>
  <c r="P273" i="9"/>
  <c r="L274" i="9"/>
  <c r="O274" i="9" s="1"/>
  <c r="M274" i="9"/>
  <c r="P274" i="9" s="1"/>
  <c r="N274" i="9"/>
  <c r="N272" i="9" s="1"/>
  <c r="J281" i="9"/>
  <c r="L283" i="9"/>
  <c r="M283" i="9"/>
  <c r="N283" i="9"/>
  <c r="P283" i="9"/>
  <c r="O286" i="9"/>
  <c r="P286" i="9"/>
  <c r="L287" i="9"/>
  <c r="M287" i="9"/>
  <c r="M285" i="9" s="1"/>
  <c r="P285" i="9" s="1"/>
  <c r="N287" i="9"/>
  <c r="O289" i="9"/>
  <c r="P289" i="9"/>
  <c r="L290" i="9"/>
  <c r="L288" i="9" s="1"/>
  <c r="O288" i="9" s="1"/>
  <c r="M290" i="9"/>
  <c r="M288" i="9" s="1"/>
  <c r="P288" i="9" s="1"/>
  <c r="N290" i="9"/>
  <c r="N288" i="9" s="1"/>
  <c r="I292" i="9"/>
  <c r="I293" i="9"/>
  <c r="I280" i="9" s="1"/>
  <c r="K280" i="9" s="1"/>
  <c r="J293" i="9"/>
  <c r="J280" i="9" s="1"/>
  <c r="I295" i="9"/>
  <c r="K295" i="9" s="1"/>
  <c r="I296" i="9"/>
  <c r="K296" i="9" s="1"/>
  <c r="J302" i="9"/>
  <c r="L304" i="9"/>
  <c r="M304" i="9"/>
  <c r="N304" i="9"/>
  <c r="O307" i="9"/>
  <c r="P307" i="9"/>
  <c r="L308" i="9"/>
  <c r="O308" i="9" s="1"/>
  <c r="M308" i="9"/>
  <c r="M306" i="9" s="1"/>
  <c r="P306" i="9" s="1"/>
  <c r="N308" i="9"/>
  <c r="N306" i="9" s="1"/>
  <c r="O310" i="9"/>
  <c r="P310" i="9"/>
  <c r="L311" i="9"/>
  <c r="O311" i="9" s="1"/>
  <c r="M311" i="9"/>
  <c r="M309" i="9" s="1"/>
  <c r="P309" i="9" s="1"/>
  <c r="N311" i="9"/>
  <c r="N309" i="9" s="1"/>
  <c r="I314" i="9"/>
  <c r="I302" i="9" s="1"/>
  <c r="K302" i="9" s="1"/>
  <c r="I315" i="9"/>
  <c r="K315" i="9" s="1"/>
  <c r="I316" i="9"/>
  <c r="K316" i="9" s="1"/>
  <c r="I317" i="9"/>
  <c r="K317" i="9" s="1"/>
  <c r="J319" i="9"/>
  <c r="L321" i="9"/>
  <c r="M321" i="9"/>
  <c r="P321" i="9" s="1"/>
  <c r="N321" i="9"/>
  <c r="O321" i="9"/>
  <c r="O324" i="9"/>
  <c r="P324" i="9"/>
  <c r="L325" i="9"/>
  <c r="L323" i="9" s="1"/>
  <c r="O323" i="9" s="1"/>
  <c r="M325" i="9"/>
  <c r="M323" i="9" s="1"/>
  <c r="P323" i="9" s="1"/>
  <c r="N325" i="9"/>
  <c r="N323" i="9" s="1"/>
  <c r="O327" i="9"/>
  <c r="P327" i="9"/>
  <c r="L328" i="9"/>
  <c r="L326" i="9" s="1"/>
  <c r="O326" i="9" s="1"/>
  <c r="M328" i="9"/>
  <c r="N328" i="9"/>
  <c r="N326" i="9" s="1"/>
  <c r="I330" i="9"/>
  <c r="I319" i="9" s="1"/>
  <c r="K319" i="9" s="1"/>
  <c r="L334" i="9"/>
  <c r="O334" i="9" s="1"/>
  <c r="M334" i="9"/>
  <c r="P334" i="9" s="1"/>
  <c r="N334" i="9"/>
  <c r="O337" i="9"/>
  <c r="P337" i="9"/>
  <c r="L338" i="9"/>
  <c r="L336" i="9" s="1"/>
  <c r="M338" i="9"/>
  <c r="M336" i="9" s="1"/>
  <c r="N338" i="9"/>
  <c r="N336" i="9" s="1"/>
  <c r="O340" i="9"/>
  <c r="P340" i="9"/>
  <c r="L341" i="9"/>
  <c r="L339" i="9" s="1"/>
  <c r="O339" i="9" s="1"/>
  <c r="M341" i="9"/>
  <c r="N341" i="9"/>
  <c r="N339" i="9" s="1"/>
  <c r="I344" i="9"/>
  <c r="I332" i="9" s="1"/>
  <c r="J344" i="9"/>
  <c r="I346" i="9"/>
  <c r="J346" i="9"/>
  <c r="J347" i="9"/>
  <c r="J348" i="9"/>
  <c r="J349" i="9"/>
  <c r="D350" i="9"/>
  <c r="J352" i="9"/>
  <c r="J353" i="9"/>
  <c r="D354" i="9"/>
  <c r="L357" i="9"/>
  <c r="M357" i="9"/>
  <c r="N357" i="9"/>
  <c r="O357" i="9"/>
  <c r="O360" i="9"/>
  <c r="P360" i="9"/>
  <c r="L361" i="9"/>
  <c r="L359" i="9" s="1"/>
  <c r="M361" i="9"/>
  <c r="N361" i="9"/>
  <c r="O363" i="9"/>
  <c r="P363" i="9"/>
  <c r="L364" i="9"/>
  <c r="L362" i="9" s="1"/>
  <c r="O362" i="9" s="1"/>
  <c r="M364" i="9"/>
  <c r="M362" i="9" s="1"/>
  <c r="P362" i="9" s="1"/>
  <c r="N364" i="9"/>
  <c r="N362" i="9" s="1"/>
  <c r="J367" i="9"/>
  <c r="K367" i="9"/>
  <c r="I368" i="9"/>
  <c r="K368" i="9" s="1"/>
  <c r="J368" i="9"/>
  <c r="I369" i="9"/>
  <c r="K369" i="9" s="1"/>
  <c r="J369" i="9"/>
  <c r="J370" i="9"/>
  <c r="K370" i="9"/>
  <c r="I371" i="9"/>
  <c r="I365" i="9" s="1"/>
  <c r="K365" i="9" s="1"/>
  <c r="J371" i="9"/>
  <c r="J365" i="9" s="1"/>
  <c r="J372" i="9"/>
  <c r="K372" i="9"/>
  <c r="D373" i="9"/>
  <c r="I376" i="9"/>
  <c r="J376" i="9"/>
  <c r="K376" i="9"/>
  <c r="L378" i="9"/>
  <c r="O378" i="9" s="1"/>
  <c r="M378" i="9"/>
  <c r="N378" i="9"/>
  <c r="O381" i="9"/>
  <c r="P381" i="9"/>
  <c r="L382" i="9"/>
  <c r="O382" i="9" s="1"/>
  <c r="M382" i="9"/>
  <c r="P382" i="9" s="1"/>
  <c r="N382" i="9"/>
  <c r="N380" i="9" s="1"/>
  <c r="O384" i="9"/>
  <c r="P384" i="9"/>
  <c r="L385" i="9"/>
  <c r="L383" i="9" s="1"/>
  <c r="O383" i="9" s="1"/>
  <c r="M385" i="9"/>
  <c r="P385" i="9" s="1"/>
  <c r="N385" i="9"/>
  <c r="N383" i="9" s="1"/>
  <c r="K387" i="9"/>
  <c r="K388" i="9"/>
  <c r="A391" i="9"/>
  <c r="L22" i="8"/>
  <c r="M22" i="8"/>
  <c r="N22" i="8"/>
  <c r="L25" i="8"/>
  <c r="O25" i="8" s="1"/>
  <c r="M25" i="8"/>
  <c r="P25" i="8" s="1"/>
  <c r="N25" i="8"/>
  <c r="N19" i="8" s="1"/>
  <c r="L45" i="8"/>
  <c r="O45" i="8" s="1"/>
  <c r="M45" i="8"/>
  <c r="N45" i="8"/>
  <c r="P45" i="8"/>
  <c r="O48" i="8"/>
  <c r="P48" i="8"/>
  <c r="L49" i="8"/>
  <c r="M49" i="8"/>
  <c r="M47" i="8" s="1"/>
  <c r="N49" i="8"/>
  <c r="O51" i="8"/>
  <c r="P51" i="8"/>
  <c r="L52" i="8"/>
  <c r="L50" i="8" s="1"/>
  <c r="O50" i="8" s="1"/>
  <c r="M52" i="8"/>
  <c r="M50" i="8" s="1"/>
  <c r="P50" i="8" s="1"/>
  <c r="N52" i="8"/>
  <c r="L60" i="8"/>
  <c r="M60" i="8"/>
  <c r="N60" i="8"/>
  <c r="O60" i="8"/>
  <c r="P60" i="8"/>
  <c r="O63" i="8"/>
  <c r="P63" i="8"/>
  <c r="L64" i="8"/>
  <c r="L62" i="8" s="1"/>
  <c r="M64" i="8"/>
  <c r="N64" i="8"/>
  <c r="O66" i="8"/>
  <c r="P66" i="8"/>
  <c r="L67" i="8"/>
  <c r="O67" i="8" s="1"/>
  <c r="M67" i="8"/>
  <c r="M65" i="8" s="1"/>
  <c r="P65" i="8" s="1"/>
  <c r="N67" i="8"/>
  <c r="N65" i="8" s="1"/>
  <c r="L73" i="8"/>
  <c r="O73" i="8" s="1"/>
  <c r="M73" i="8"/>
  <c r="N73" i="8"/>
  <c r="P73" i="8"/>
  <c r="O76" i="8"/>
  <c r="P76" i="8"/>
  <c r="L77" i="8"/>
  <c r="L75" i="8" s="1"/>
  <c r="O75" i="8" s="1"/>
  <c r="M77" i="8"/>
  <c r="M75" i="8" s="1"/>
  <c r="P75" i="8" s="1"/>
  <c r="N77" i="8"/>
  <c r="N75" i="8" s="1"/>
  <c r="O79" i="8"/>
  <c r="P79" i="8"/>
  <c r="L80" i="8"/>
  <c r="L78" i="8" s="1"/>
  <c r="O78" i="8" s="1"/>
  <c r="M80" i="8"/>
  <c r="M78" i="8" s="1"/>
  <c r="P78" i="8" s="1"/>
  <c r="N80" i="8"/>
  <c r="N78" i="8" s="1"/>
  <c r="J82" i="8"/>
  <c r="J70" i="8" s="1"/>
  <c r="J83" i="8"/>
  <c r="J71" i="8" s="1"/>
  <c r="I84" i="8"/>
  <c r="K84" i="8" s="1"/>
  <c r="I85" i="8"/>
  <c r="K85" i="8" s="1"/>
  <c r="I86" i="8"/>
  <c r="K86" i="8" s="1"/>
  <c r="I87" i="8"/>
  <c r="K87" i="8" s="1"/>
  <c r="I88" i="8"/>
  <c r="K88" i="8" s="1"/>
  <c r="I89" i="8"/>
  <c r="K89" i="8" s="1"/>
  <c r="I90" i="8"/>
  <c r="K90" i="8" s="1"/>
  <c r="J92" i="8"/>
  <c r="J93" i="8"/>
  <c r="L95" i="8"/>
  <c r="O95" i="8" s="1"/>
  <c r="M95" i="8"/>
  <c r="P95" i="8" s="1"/>
  <c r="N95" i="8"/>
  <c r="O98" i="8"/>
  <c r="P98" i="8"/>
  <c r="L99" i="8"/>
  <c r="L97" i="8" s="1"/>
  <c r="O97" i="8" s="1"/>
  <c r="M99" i="8"/>
  <c r="P99" i="8" s="1"/>
  <c r="N99" i="8"/>
  <c r="N97" i="8" s="1"/>
  <c r="O101" i="8"/>
  <c r="P101" i="8"/>
  <c r="L102" i="8"/>
  <c r="L100" i="8" s="1"/>
  <c r="O100" i="8" s="1"/>
  <c r="M102" i="8"/>
  <c r="M100" i="8" s="1"/>
  <c r="P100" i="8" s="1"/>
  <c r="N102" i="8"/>
  <c r="N100" i="8" s="1"/>
  <c r="I108" i="8"/>
  <c r="I92" i="8" s="1"/>
  <c r="K92" i="8" s="1"/>
  <c r="I109" i="8"/>
  <c r="I93" i="8" s="1"/>
  <c r="K93" i="8" s="1"/>
  <c r="I117" i="8"/>
  <c r="K117" i="8" s="1"/>
  <c r="L126" i="8"/>
  <c r="O126" i="8" s="1"/>
  <c r="M126" i="8"/>
  <c r="N126" i="8"/>
  <c r="P126" i="8"/>
  <c r="O129" i="8"/>
  <c r="P129" i="8"/>
  <c r="L130" i="8"/>
  <c r="L128" i="8" s="1"/>
  <c r="O128" i="8" s="1"/>
  <c r="M130" i="8"/>
  <c r="P130" i="8" s="1"/>
  <c r="N130" i="8"/>
  <c r="N128" i="8" s="1"/>
  <c r="O132" i="8"/>
  <c r="P132" i="8"/>
  <c r="L133" i="8"/>
  <c r="M133" i="8"/>
  <c r="N133" i="8"/>
  <c r="N131" i="8" s="1"/>
  <c r="J136" i="8"/>
  <c r="J137" i="8"/>
  <c r="J138" i="8"/>
  <c r="L140" i="8"/>
  <c r="M140" i="8"/>
  <c r="N140" i="8"/>
  <c r="P140" i="8"/>
  <c r="O143" i="8"/>
  <c r="P143" i="8"/>
  <c r="L144" i="8"/>
  <c r="L142" i="8" s="1"/>
  <c r="O142" i="8" s="1"/>
  <c r="M144" i="8"/>
  <c r="P144" i="8" s="1"/>
  <c r="N144" i="8"/>
  <c r="N142" i="8" s="1"/>
  <c r="O146" i="8"/>
  <c r="P146" i="8"/>
  <c r="L147" i="8"/>
  <c r="O147" i="8" s="1"/>
  <c r="M147" i="8"/>
  <c r="P147" i="8" s="1"/>
  <c r="N147" i="8"/>
  <c r="N145" i="8" s="1"/>
  <c r="I150" i="8"/>
  <c r="K150" i="8" s="1"/>
  <c r="I151" i="8"/>
  <c r="K151" i="8" s="1"/>
  <c r="I152" i="8"/>
  <c r="I153" i="8"/>
  <c r="I138" i="8" s="1"/>
  <c r="K138" i="8" s="1"/>
  <c r="I154" i="8"/>
  <c r="K154" i="8" s="1"/>
  <c r="J156" i="8"/>
  <c r="L158" i="8"/>
  <c r="O158" i="8" s="1"/>
  <c r="M158" i="8"/>
  <c r="P158" i="8" s="1"/>
  <c r="N158" i="8"/>
  <c r="O161" i="8"/>
  <c r="P161" i="8"/>
  <c r="L162" i="8"/>
  <c r="M162" i="8"/>
  <c r="N162" i="8"/>
  <c r="N160" i="8" s="1"/>
  <c r="O164" i="8"/>
  <c r="P164" i="8"/>
  <c r="L165" i="8"/>
  <c r="L163" i="8" s="1"/>
  <c r="O163" i="8" s="1"/>
  <c r="M165" i="8"/>
  <c r="N165" i="8"/>
  <c r="N163" i="8" s="1"/>
  <c r="I167" i="8"/>
  <c r="K167" i="8" s="1"/>
  <c r="I168" i="8"/>
  <c r="K168" i="8" s="1"/>
  <c r="I169" i="8"/>
  <c r="K169" i="8" s="1"/>
  <c r="J172" i="8"/>
  <c r="L174" i="8"/>
  <c r="O174" i="8" s="1"/>
  <c r="M174" i="8"/>
  <c r="P174" i="8" s="1"/>
  <c r="N174" i="8"/>
  <c r="O177" i="8"/>
  <c r="P177" i="8"/>
  <c r="L178" i="8"/>
  <c r="L176" i="8" s="1"/>
  <c r="O176" i="8" s="1"/>
  <c r="M178" i="8"/>
  <c r="N178" i="8"/>
  <c r="N176" i="8" s="1"/>
  <c r="O180" i="8"/>
  <c r="P180" i="8"/>
  <c r="L181" i="8"/>
  <c r="L179" i="8" s="1"/>
  <c r="O179" i="8" s="1"/>
  <c r="M181" i="8"/>
  <c r="N181" i="8"/>
  <c r="N179" i="8" s="1"/>
  <c r="I183" i="8"/>
  <c r="K183" i="8" s="1"/>
  <c r="K184" i="8"/>
  <c r="L187" i="8"/>
  <c r="M187" i="8"/>
  <c r="N187" i="8"/>
  <c r="O187" i="8"/>
  <c r="O190" i="8"/>
  <c r="P190" i="8"/>
  <c r="L191" i="8"/>
  <c r="M191" i="8"/>
  <c r="M189" i="8" s="1"/>
  <c r="N191" i="8"/>
  <c r="N189" i="8" s="1"/>
  <c r="O193" i="8"/>
  <c r="P193" i="8"/>
  <c r="L194" i="8"/>
  <c r="O194" i="8" s="1"/>
  <c r="M194" i="8"/>
  <c r="M192" i="8" s="1"/>
  <c r="P192" i="8" s="1"/>
  <c r="N194" i="8"/>
  <c r="N192" i="8" s="1"/>
  <c r="J195" i="8"/>
  <c r="L196" i="8"/>
  <c r="O196" i="8" s="1"/>
  <c r="P196" i="8"/>
  <c r="I198" i="8"/>
  <c r="I195" i="8" s="1"/>
  <c r="K195" i="8" s="1"/>
  <c r="J199" i="8"/>
  <c r="J202" i="8"/>
  <c r="N203" i="8"/>
  <c r="P203" i="8"/>
  <c r="L204" i="8"/>
  <c r="L205" i="8"/>
  <c r="L206" i="8"/>
  <c r="L207" i="8"/>
  <c r="I209" i="8"/>
  <c r="I202" i="8" s="1"/>
  <c r="K202" i="8" s="1"/>
  <c r="I211" i="8"/>
  <c r="K211" i="8" s="1"/>
  <c r="I212" i="8"/>
  <c r="K212" i="8" s="1"/>
  <c r="J213" i="8"/>
  <c r="N214" i="8"/>
  <c r="P214" i="8"/>
  <c r="L215" i="8"/>
  <c r="L216" i="8"/>
  <c r="L217" i="8"/>
  <c r="I219" i="8"/>
  <c r="K219" i="8" s="1"/>
  <c r="I220" i="8"/>
  <c r="I213" i="8" s="1"/>
  <c r="K213" i="8" s="1"/>
  <c r="J221" i="8"/>
  <c r="N222" i="8"/>
  <c r="P222" i="8"/>
  <c r="L223" i="8"/>
  <c r="L224" i="8"/>
  <c r="L225" i="8"/>
  <c r="I228" i="8"/>
  <c r="K228" i="8" s="1"/>
  <c r="I229" i="8"/>
  <c r="I221" i="8" s="1"/>
  <c r="K221" i="8" s="1"/>
  <c r="I230" i="8"/>
  <c r="K230" i="8" s="1"/>
  <c r="N233" i="8"/>
  <c r="N234" i="8"/>
  <c r="N235" i="8"/>
  <c r="N236" i="8"/>
  <c r="J238" i="8"/>
  <c r="J240" i="8"/>
  <c r="J241" i="8"/>
  <c r="J242" i="8"/>
  <c r="J231" i="8" s="1"/>
  <c r="J185" i="8" s="1"/>
  <c r="N243" i="8"/>
  <c r="N232" i="8" s="1"/>
  <c r="P243" i="8"/>
  <c r="L244" i="8"/>
  <c r="L245" i="8"/>
  <c r="L246" i="8"/>
  <c r="L247" i="8"/>
  <c r="I249" i="8"/>
  <c r="I242" i="8" s="1"/>
  <c r="I251" i="8"/>
  <c r="K251" i="8" s="1"/>
  <c r="I252" i="8"/>
  <c r="K252" i="8" s="1"/>
  <c r="J253" i="8"/>
  <c r="N254" i="8"/>
  <c r="P254" i="8"/>
  <c r="L255" i="8"/>
  <c r="L256" i="8"/>
  <c r="L257" i="8"/>
  <c r="L258" i="8"/>
  <c r="I260" i="8"/>
  <c r="K260" i="8" s="1"/>
  <c r="K262" i="8"/>
  <c r="K263" i="8"/>
  <c r="I265" i="8"/>
  <c r="K265" i="8" s="1"/>
  <c r="J265" i="8"/>
  <c r="L267" i="8"/>
  <c r="O267" i="8" s="1"/>
  <c r="M267" i="8"/>
  <c r="P267" i="8" s="1"/>
  <c r="N267" i="8"/>
  <c r="O270" i="8"/>
  <c r="P270" i="8"/>
  <c r="L271" i="8"/>
  <c r="L269" i="8" s="1"/>
  <c r="O269" i="8" s="1"/>
  <c r="M271" i="8"/>
  <c r="P271" i="8" s="1"/>
  <c r="N271" i="8"/>
  <c r="N269" i="8" s="1"/>
  <c r="O273" i="8"/>
  <c r="P273" i="8"/>
  <c r="L274" i="8"/>
  <c r="L272" i="8" s="1"/>
  <c r="O272" i="8" s="1"/>
  <c r="M274" i="8"/>
  <c r="M272" i="8" s="1"/>
  <c r="P272" i="8" s="1"/>
  <c r="N274" i="8"/>
  <c r="N272" i="8" s="1"/>
  <c r="J280" i="8"/>
  <c r="J281" i="8"/>
  <c r="L283" i="8"/>
  <c r="O283" i="8" s="1"/>
  <c r="M283" i="8"/>
  <c r="P283" i="8" s="1"/>
  <c r="N283" i="8"/>
  <c r="O286" i="8"/>
  <c r="P286" i="8"/>
  <c r="L287" i="8"/>
  <c r="M287" i="8"/>
  <c r="M285" i="8" s="1"/>
  <c r="P285" i="8" s="1"/>
  <c r="N287" i="8"/>
  <c r="N285" i="8" s="1"/>
  <c r="O289" i="8"/>
  <c r="P289" i="8"/>
  <c r="L290" i="8"/>
  <c r="L288" i="8" s="1"/>
  <c r="O288" i="8" s="1"/>
  <c r="M290" i="8"/>
  <c r="P290" i="8" s="1"/>
  <c r="N290" i="8"/>
  <c r="N288" i="8" s="1"/>
  <c r="I292" i="8"/>
  <c r="I281" i="8" s="1"/>
  <c r="K281" i="8" s="1"/>
  <c r="I293" i="8"/>
  <c r="I280" i="8" s="1"/>
  <c r="K280" i="8" s="1"/>
  <c r="J293" i="8"/>
  <c r="I295" i="8"/>
  <c r="K295" i="8" s="1"/>
  <c r="I296" i="8"/>
  <c r="K296" i="8" s="1"/>
  <c r="J302" i="8"/>
  <c r="L304" i="8"/>
  <c r="M304" i="8"/>
  <c r="P304" i="8" s="1"/>
  <c r="N304" i="8"/>
  <c r="O307" i="8"/>
  <c r="P307" i="8"/>
  <c r="L308" i="8"/>
  <c r="L306" i="8" s="1"/>
  <c r="M308" i="8"/>
  <c r="M306" i="8" s="1"/>
  <c r="N308" i="8"/>
  <c r="O310" i="8"/>
  <c r="P310" i="8"/>
  <c r="L311" i="8"/>
  <c r="L309" i="8" s="1"/>
  <c r="O309" i="8" s="1"/>
  <c r="M311" i="8"/>
  <c r="P311" i="8" s="1"/>
  <c r="N311" i="8"/>
  <c r="N309" i="8" s="1"/>
  <c r="I314" i="8"/>
  <c r="I302" i="8" s="1"/>
  <c r="I315" i="8"/>
  <c r="K315" i="8" s="1"/>
  <c r="I316" i="8"/>
  <c r="K316" i="8" s="1"/>
  <c r="I317" i="8"/>
  <c r="K317" i="8" s="1"/>
  <c r="J319" i="8"/>
  <c r="L321" i="8"/>
  <c r="O321" i="8" s="1"/>
  <c r="M321" i="8"/>
  <c r="N321" i="8"/>
  <c r="O324" i="8"/>
  <c r="P324" i="8"/>
  <c r="L325" i="8"/>
  <c r="O325" i="8" s="1"/>
  <c r="M325" i="8"/>
  <c r="M323" i="8" s="1"/>
  <c r="P323" i="8" s="1"/>
  <c r="N325" i="8"/>
  <c r="N323" i="8" s="1"/>
  <c r="O327" i="8"/>
  <c r="P327" i="8"/>
  <c r="L328" i="8"/>
  <c r="O328" i="8" s="1"/>
  <c r="M328" i="8"/>
  <c r="M326" i="8" s="1"/>
  <c r="P326" i="8" s="1"/>
  <c r="N328" i="8"/>
  <c r="N326" i="8" s="1"/>
  <c r="I330" i="8"/>
  <c r="I319" i="8" s="1"/>
  <c r="K319" i="8" s="1"/>
  <c r="L334" i="8"/>
  <c r="M334" i="8"/>
  <c r="N334" i="8"/>
  <c r="O334" i="8"/>
  <c r="O337" i="8"/>
  <c r="P337" i="8"/>
  <c r="L338" i="8"/>
  <c r="L336" i="8" s="1"/>
  <c r="M338" i="8"/>
  <c r="M336" i="8" s="1"/>
  <c r="N338" i="8"/>
  <c r="O340" i="8"/>
  <c r="P340" i="8"/>
  <c r="L341" i="8"/>
  <c r="L339" i="8" s="1"/>
  <c r="O339" i="8" s="1"/>
  <c r="M341" i="8"/>
  <c r="P341" i="8" s="1"/>
  <c r="N341" i="8"/>
  <c r="N339" i="8" s="1"/>
  <c r="I344" i="8"/>
  <c r="J344" i="8"/>
  <c r="I346" i="8"/>
  <c r="J346" i="8"/>
  <c r="J347" i="8"/>
  <c r="J348" i="8"/>
  <c r="J349" i="8"/>
  <c r="D350" i="8"/>
  <c r="J352" i="8"/>
  <c r="J353" i="8"/>
  <c r="D354" i="8"/>
  <c r="L357" i="8"/>
  <c r="M357" i="8"/>
  <c r="P357" i="8" s="1"/>
  <c r="N357" i="8"/>
  <c r="O360" i="8"/>
  <c r="P360" i="8"/>
  <c r="L361" i="8"/>
  <c r="L359" i="8" s="1"/>
  <c r="M361" i="8"/>
  <c r="N361" i="8"/>
  <c r="O363" i="8"/>
  <c r="P363" i="8"/>
  <c r="L364" i="8"/>
  <c r="L362" i="8" s="1"/>
  <c r="O362" i="8" s="1"/>
  <c r="M364" i="8"/>
  <c r="P364" i="8" s="1"/>
  <c r="N364" i="8"/>
  <c r="N362" i="8" s="1"/>
  <c r="J367" i="8"/>
  <c r="K367" i="8"/>
  <c r="I368" i="8"/>
  <c r="K368" i="8" s="1"/>
  <c r="J368" i="8"/>
  <c r="I369" i="8"/>
  <c r="K369" i="8" s="1"/>
  <c r="J369" i="8"/>
  <c r="J370" i="8"/>
  <c r="K370" i="8"/>
  <c r="I371" i="8"/>
  <c r="J371" i="8"/>
  <c r="J365" i="8" s="1"/>
  <c r="J372" i="8"/>
  <c r="K372" i="8"/>
  <c r="D373" i="8"/>
  <c r="I376" i="8"/>
  <c r="K376" i="8" s="1"/>
  <c r="J376" i="8"/>
  <c r="L378" i="8"/>
  <c r="O378" i="8" s="1"/>
  <c r="M378" i="8"/>
  <c r="N378" i="8"/>
  <c r="O381" i="8"/>
  <c r="P381" i="8"/>
  <c r="L382" i="8"/>
  <c r="O382" i="8" s="1"/>
  <c r="M382" i="8"/>
  <c r="N382" i="8"/>
  <c r="N380" i="8" s="1"/>
  <c r="O384" i="8"/>
  <c r="P384" i="8"/>
  <c r="L385" i="8"/>
  <c r="O385" i="8" s="1"/>
  <c r="M385" i="8"/>
  <c r="P385" i="8" s="1"/>
  <c r="N385" i="8"/>
  <c r="N383" i="8" s="1"/>
  <c r="K387" i="8"/>
  <c r="K388" i="8"/>
  <c r="A391" i="8"/>
  <c r="L22" i="7"/>
  <c r="M22" i="7"/>
  <c r="N22" i="7"/>
  <c r="N19" i="7" s="1"/>
  <c r="O22" i="7"/>
  <c r="L25" i="7"/>
  <c r="M25" i="7"/>
  <c r="P25" i="7" s="1"/>
  <c r="N25" i="7"/>
  <c r="L45" i="7"/>
  <c r="M45" i="7"/>
  <c r="N45" i="7"/>
  <c r="P45" i="7"/>
  <c r="O48" i="7"/>
  <c r="P48" i="7"/>
  <c r="L49" i="7"/>
  <c r="M49" i="7"/>
  <c r="M47" i="7" s="1"/>
  <c r="N49" i="7"/>
  <c r="N47" i="7" s="1"/>
  <c r="O51" i="7"/>
  <c r="P51" i="7"/>
  <c r="L52" i="7"/>
  <c r="L50" i="7" s="1"/>
  <c r="O50" i="7" s="1"/>
  <c r="M52" i="7"/>
  <c r="M50" i="7" s="1"/>
  <c r="P50" i="7" s="1"/>
  <c r="N52" i="7"/>
  <c r="N50" i="7" s="1"/>
  <c r="L60" i="7"/>
  <c r="M60" i="7"/>
  <c r="N60" i="7"/>
  <c r="O60" i="7"/>
  <c r="O63" i="7"/>
  <c r="P63" i="7"/>
  <c r="L64" i="7"/>
  <c r="M64" i="7"/>
  <c r="M62" i="7" s="1"/>
  <c r="N64" i="7"/>
  <c r="O66" i="7"/>
  <c r="P66" i="7"/>
  <c r="L67" i="7"/>
  <c r="O67" i="7" s="1"/>
  <c r="M67" i="7"/>
  <c r="M65" i="7" s="1"/>
  <c r="P65" i="7" s="1"/>
  <c r="N67" i="7"/>
  <c r="N65" i="7" s="1"/>
  <c r="L73" i="7"/>
  <c r="M73" i="7"/>
  <c r="N73" i="7"/>
  <c r="P73" i="7"/>
  <c r="O76" i="7"/>
  <c r="P76" i="7"/>
  <c r="L77" i="7"/>
  <c r="L75" i="7" s="1"/>
  <c r="O75" i="7" s="1"/>
  <c r="M77" i="7"/>
  <c r="M75" i="7" s="1"/>
  <c r="P75" i="7" s="1"/>
  <c r="N77" i="7"/>
  <c r="N75" i="7" s="1"/>
  <c r="O79" i="7"/>
  <c r="P79" i="7"/>
  <c r="L80" i="7"/>
  <c r="L78" i="7" s="1"/>
  <c r="O78" i="7" s="1"/>
  <c r="M80" i="7"/>
  <c r="M78" i="7" s="1"/>
  <c r="P78" i="7" s="1"/>
  <c r="N80" i="7"/>
  <c r="N78" i="7" s="1"/>
  <c r="J82" i="7"/>
  <c r="J70" i="7" s="1"/>
  <c r="J83" i="7"/>
  <c r="J71" i="7" s="1"/>
  <c r="I84" i="7"/>
  <c r="K84" i="7" s="1"/>
  <c r="I85" i="7"/>
  <c r="I86" i="7"/>
  <c r="K86" i="7" s="1"/>
  <c r="I87" i="7"/>
  <c r="K87" i="7" s="1"/>
  <c r="I88" i="7"/>
  <c r="K88" i="7" s="1"/>
  <c r="I89" i="7"/>
  <c r="K89" i="7" s="1"/>
  <c r="I90" i="7"/>
  <c r="K90" i="7" s="1"/>
  <c r="J92" i="7"/>
  <c r="J93" i="7"/>
  <c r="L95" i="7"/>
  <c r="M95" i="7"/>
  <c r="N95" i="7"/>
  <c r="O95" i="7"/>
  <c r="O98" i="7"/>
  <c r="P98" i="7"/>
  <c r="L99" i="7"/>
  <c r="M99" i="7"/>
  <c r="M97" i="7" s="1"/>
  <c r="P97" i="7" s="1"/>
  <c r="N99" i="7"/>
  <c r="N97" i="7" s="1"/>
  <c r="O101" i="7"/>
  <c r="P101" i="7"/>
  <c r="L102" i="7"/>
  <c r="M102" i="7"/>
  <c r="M100" i="7" s="1"/>
  <c r="P100" i="7" s="1"/>
  <c r="N102" i="7"/>
  <c r="N100" i="7" s="1"/>
  <c r="I108" i="7"/>
  <c r="I92" i="7" s="1"/>
  <c r="K92" i="7" s="1"/>
  <c r="I109" i="7"/>
  <c r="I93" i="7" s="1"/>
  <c r="K93" i="7" s="1"/>
  <c r="I117" i="7"/>
  <c r="K117" i="7" s="1"/>
  <c r="L126" i="7"/>
  <c r="O126" i="7" s="1"/>
  <c r="M126" i="7"/>
  <c r="P126" i="7" s="1"/>
  <c r="N126" i="7"/>
  <c r="O129" i="7"/>
  <c r="P129" i="7"/>
  <c r="L130" i="7"/>
  <c r="L128" i="7" s="1"/>
  <c r="O128" i="7" s="1"/>
  <c r="M130" i="7"/>
  <c r="P130" i="7" s="1"/>
  <c r="N130" i="7"/>
  <c r="N128" i="7" s="1"/>
  <c r="O132" i="7"/>
  <c r="P132" i="7"/>
  <c r="L133" i="7"/>
  <c r="L131" i="7" s="1"/>
  <c r="O131" i="7" s="1"/>
  <c r="M133" i="7"/>
  <c r="P133" i="7" s="1"/>
  <c r="N133" i="7"/>
  <c r="N131" i="7" s="1"/>
  <c r="J136" i="7"/>
  <c r="J137" i="7"/>
  <c r="J138" i="7"/>
  <c r="L140" i="7"/>
  <c r="O140" i="7" s="1"/>
  <c r="M140" i="7"/>
  <c r="N140" i="7"/>
  <c r="P140" i="7"/>
  <c r="O143" i="7"/>
  <c r="P143" i="7"/>
  <c r="L144" i="7"/>
  <c r="L142" i="7" s="1"/>
  <c r="O142" i="7" s="1"/>
  <c r="M144" i="7"/>
  <c r="P144" i="7" s="1"/>
  <c r="N144" i="7"/>
  <c r="N142" i="7" s="1"/>
  <c r="O146" i="7"/>
  <c r="P146" i="7"/>
  <c r="L147" i="7"/>
  <c r="O147" i="7" s="1"/>
  <c r="M147" i="7"/>
  <c r="P147" i="7" s="1"/>
  <c r="N147" i="7"/>
  <c r="N145" i="7" s="1"/>
  <c r="I150" i="7"/>
  <c r="K150" i="7" s="1"/>
  <c r="I151" i="7"/>
  <c r="K151" i="7" s="1"/>
  <c r="I152" i="7"/>
  <c r="I153" i="7"/>
  <c r="I138" i="7" s="1"/>
  <c r="K138" i="7" s="1"/>
  <c r="I154" i="7"/>
  <c r="I136" i="7" s="1"/>
  <c r="K136" i="7" s="1"/>
  <c r="J156" i="7"/>
  <c r="L158" i="7"/>
  <c r="M158" i="7"/>
  <c r="P158" i="7" s="1"/>
  <c r="N158" i="7"/>
  <c r="O161" i="7"/>
  <c r="P161" i="7"/>
  <c r="L162" i="7"/>
  <c r="L160" i="7" s="1"/>
  <c r="O160" i="7" s="1"/>
  <c r="M162" i="7"/>
  <c r="M160" i="7" s="1"/>
  <c r="P160" i="7" s="1"/>
  <c r="N162" i="7"/>
  <c r="N160" i="7" s="1"/>
  <c r="O164" i="7"/>
  <c r="P164" i="7"/>
  <c r="L165" i="7"/>
  <c r="O165" i="7" s="1"/>
  <c r="M165" i="7"/>
  <c r="M163" i="7" s="1"/>
  <c r="P163" i="7" s="1"/>
  <c r="N165" i="7"/>
  <c r="N163" i="7" s="1"/>
  <c r="I167" i="7"/>
  <c r="K167" i="7" s="1"/>
  <c r="I168" i="7"/>
  <c r="K168" i="7" s="1"/>
  <c r="I169" i="7"/>
  <c r="I156" i="7" s="1"/>
  <c r="K156" i="7" s="1"/>
  <c r="J172" i="7"/>
  <c r="L174" i="7"/>
  <c r="M174" i="7"/>
  <c r="N174" i="7"/>
  <c r="P174" i="7"/>
  <c r="O177" i="7"/>
  <c r="P177" i="7"/>
  <c r="L178" i="7"/>
  <c r="L176" i="7" s="1"/>
  <c r="M178" i="7"/>
  <c r="M176" i="7" s="1"/>
  <c r="N178" i="7"/>
  <c r="O180" i="7"/>
  <c r="P180" i="7"/>
  <c r="L181" i="7"/>
  <c r="O181" i="7" s="1"/>
  <c r="M181" i="7"/>
  <c r="M179" i="7" s="1"/>
  <c r="P179" i="7" s="1"/>
  <c r="N181" i="7"/>
  <c r="N179" i="7" s="1"/>
  <c r="I183" i="7"/>
  <c r="K183" i="7" s="1"/>
  <c r="K184" i="7"/>
  <c r="L187" i="7"/>
  <c r="O187" i="7" s="1"/>
  <c r="M187" i="7"/>
  <c r="N187" i="7"/>
  <c r="O190" i="7"/>
  <c r="P190" i="7"/>
  <c r="L191" i="7"/>
  <c r="M191" i="7"/>
  <c r="M189" i="7" s="1"/>
  <c r="N191" i="7"/>
  <c r="O193" i="7"/>
  <c r="P193" i="7"/>
  <c r="L194" i="7"/>
  <c r="O194" i="7" s="1"/>
  <c r="M194" i="7"/>
  <c r="M192" i="7" s="1"/>
  <c r="P192" i="7" s="1"/>
  <c r="N194" i="7"/>
  <c r="N192" i="7" s="1"/>
  <c r="J195" i="7"/>
  <c r="L196" i="7"/>
  <c r="O196" i="7" s="1"/>
  <c r="P196" i="7"/>
  <c r="I198" i="7"/>
  <c r="I195" i="7" s="1"/>
  <c r="J199" i="7"/>
  <c r="J202" i="7"/>
  <c r="N203" i="7"/>
  <c r="P203" i="7"/>
  <c r="L204" i="7"/>
  <c r="L205" i="7"/>
  <c r="L206" i="7"/>
  <c r="L207" i="7"/>
  <c r="I209" i="7"/>
  <c r="I202" i="7" s="1"/>
  <c r="K202" i="7" s="1"/>
  <c r="I211" i="7"/>
  <c r="K211" i="7" s="1"/>
  <c r="I212" i="7"/>
  <c r="K212" i="7" s="1"/>
  <c r="J213" i="7"/>
  <c r="N214" i="7"/>
  <c r="P214" i="7"/>
  <c r="L215" i="7"/>
  <c r="L216" i="7"/>
  <c r="L217" i="7"/>
  <c r="I219" i="7"/>
  <c r="K219" i="7" s="1"/>
  <c r="I220" i="7"/>
  <c r="I213" i="7" s="1"/>
  <c r="K213" i="7" s="1"/>
  <c r="J221" i="7"/>
  <c r="N222" i="7"/>
  <c r="P222" i="7"/>
  <c r="L223" i="7"/>
  <c r="L224" i="7"/>
  <c r="L225" i="7"/>
  <c r="I228" i="7"/>
  <c r="K228" i="7" s="1"/>
  <c r="I229" i="7"/>
  <c r="I221" i="7" s="1"/>
  <c r="K221" i="7" s="1"/>
  <c r="I230" i="7"/>
  <c r="N232" i="7"/>
  <c r="N233" i="7"/>
  <c r="N234" i="7"/>
  <c r="N235" i="7"/>
  <c r="N236" i="7"/>
  <c r="J238" i="7"/>
  <c r="I240" i="7"/>
  <c r="K240" i="7" s="1"/>
  <c r="J240" i="7"/>
  <c r="I241" i="7"/>
  <c r="K241" i="7" s="1"/>
  <c r="J241" i="7"/>
  <c r="J242" i="7"/>
  <c r="J231" i="7" s="1"/>
  <c r="J185" i="7" s="1"/>
  <c r="N243" i="7"/>
  <c r="P243" i="7"/>
  <c r="L244" i="7"/>
  <c r="L245" i="7"/>
  <c r="L246" i="7"/>
  <c r="L247" i="7"/>
  <c r="I249" i="7"/>
  <c r="K251" i="7"/>
  <c r="K252" i="7"/>
  <c r="J253" i="7"/>
  <c r="N254" i="7"/>
  <c r="P254" i="7"/>
  <c r="L255" i="7"/>
  <c r="L256" i="7"/>
  <c r="L257" i="7"/>
  <c r="L258" i="7"/>
  <c r="I260" i="7"/>
  <c r="I253" i="7" s="1"/>
  <c r="K253" i="7" s="1"/>
  <c r="K262" i="7"/>
  <c r="K263" i="7"/>
  <c r="I265" i="7"/>
  <c r="K265" i="7" s="1"/>
  <c r="J265" i="7"/>
  <c r="L267" i="7"/>
  <c r="M267" i="7"/>
  <c r="N267" i="7"/>
  <c r="O267" i="7"/>
  <c r="O270" i="7"/>
  <c r="P270" i="7"/>
  <c r="L271" i="7"/>
  <c r="L269" i="7" s="1"/>
  <c r="O269" i="7" s="1"/>
  <c r="M271" i="7"/>
  <c r="M269" i="7" s="1"/>
  <c r="P269" i="7" s="1"/>
  <c r="N271" i="7"/>
  <c r="N269" i="7" s="1"/>
  <c r="O273" i="7"/>
  <c r="P273" i="7"/>
  <c r="L274" i="7"/>
  <c r="L272" i="7" s="1"/>
  <c r="O272" i="7" s="1"/>
  <c r="M274" i="7"/>
  <c r="M272" i="7" s="1"/>
  <c r="P272" i="7" s="1"/>
  <c r="N274" i="7"/>
  <c r="N272" i="7" s="1"/>
  <c r="J281" i="7"/>
  <c r="L283" i="7"/>
  <c r="M283" i="7"/>
  <c r="P283" i="7" s="1"/>
  <c r="N283" i="7"/>
  <c r="O286" i="7"/>
  <c r="P286" i="7"/>
  <c r="L287" i="7"/>
  <c r="L285" i="7" s="1"/>
  <c r="O285" i="7" s="1"/>
  <c r="M287" i="7"/>
  <c r="N287" i="7"/>
  <c r="O289" i="7"/>
  <c r="P289" i="7"/>
  <c r="L290" i="7"/>
  <c r="L288" i="7" s="1"/>
  <c r="O288" i="7" s="1"/>
  <c r="M290" i="7"/>
  <c r="N290" i="7"/>
  <c r="N288" i="7" s="1"/>
  <c r="I292" i="7"/>
  <c r="K292" i="7" s="1"/>
  <c r="I293" i="7"/>
  <c r="J293" i="7"/>
  <c r="J280" i="7" s="1"/>
  <c r="I295" i="7"/>
  <c r="K295" i="7" s="1"/>
  <c r="I296" i="7"/>
  <c r="K296" i="7" s="1"/>
  <c r="J302" i="7"/>
  <c r="L304" i="7"/>
  <c r="O304" i="7" s="1"/>
  <c r="M304" i="7"/>
  <c r="N304" i="7"/>
  <c r="O307" i="7"/>
  <c r="P307" i="7"/>
  <c r="L308" i="7"/>
  <c r="O308" i="7" s="1"/>
  <c r="M308" i="7"/>
  <c r="M306" i="7" s="1"/>
  <c r="P306" i="7" s="1"/>
  <c r="N308" i="7"/>
  <c r="N306" i="7" s="1"/>
  <c r="O310" i="7"/>
  <c r="P310" i="7"/>
  <c r="L311" i="7"/>
  <c r="L309" i="7" s="1"/>
  <c r="O309" i="7" s="1"/>
  <c r="M311" i="7"/>
  <c r="M309" i="7" s="1"/>
  <c r="P309" i="7" s="1"/>
  <c r="N311" i="7"/>
  <c r="N309" i="7" s="1"/>
  <c r="I314" i="7"/>
  <c r="K314" i="7" s="1"/>
  <c r="I315" i="7"/>
  <c r="K315" i="7" s="1"/>
  <c r="I316" i="7"/>
  <c r="K316" i="7" s="1"/>
  <c r="I317" i="7"/>
  <c r="K317" i="7" s="1"/>
  <c r="J319" i="7"/>
  <c r="L321" i="7"/>
  <c r="O321" i="7" s="1"/>
  <c r="M321" i="7"/>
  <c r="N321" i="7"/>
  <c r="P321" i="7"/>
  <c r="O324" i="7"/>
  <c r="P324" i="7"/>
  <c r="L325" i="7"/>
  <c r="L323" i="7" s="1"/>
  <c r="O323" i="7" s="1"/>
  <c r="M325" i="7"/>
  <c r="M323" i="7" s="1"/>
  <c r="P323" i="7" s="1"/>
  <c r="N325" i="7"/>
  <c r="N323" i="7" s="1"/>
  <c r="O327" i="7"/>
  <c r="P327" i="7"/>
  <c r="L328" i="7"/>
  <c r="O328" i="7" s="1"/>
  <c r="M328" i="7"/>
  <c r="P328" i="7" s="1"/>
  <c r="N328" i="7"/>
  <c r="N326" i="7" s="1"/>
  <c r="I330" i="7"/>
  <c r="K330" i="7" s="1"/>
  <c r="L334" i="7"/>
  <c r="M334" i="7"/>
  <c r="N334" i="7"/>
  <c r="P334" i="7"/>
  <c r="O337" i="7"/>
  <c r="P337" i="7"/>
  <c r="L338" i="7"/>
  <c r="L336" i="7" s="1"/>
  <c r="M338" i="7"/>
  <c r="M336" i="7" s="1"/>
  <c r="N338" i="7"/>
  <c r="O340" i="7"/>
  <c r="P340" i="7"/>
  <c r="L341" i="7"/>
  <c r="L339" i="7" s="1"/>
  <c r="O339" i="7" s="1"/>
  <c r="M341" i="7"/>
  <c r="P341" i="7" s="1"/>
  <c r="N341" i="7"/>
  <c r="N339" i="7" s="1"/>
  <c r="I344" i="7"/>
  <c r="J344" i="7"/>
  <c r="I346" i="7"/>
  <c r="J346" i="7"/>
  <c r="J347" i="7"/>
  <c r="J348" i="7"/>
  <c r="J349" i="7"/>
  <c r="D350" i="7"/>
  <c r="J352" i="7"/>
  <c r="J353" i="7"/>
  <c r="D354" i="7"/>
  <c r="L357" i="7"/>
  <c r="M357" i="7"/>
  <c r="P357" i="7" s="1"/>
  <c r="N357" i="7"/>
  <c r="O357" i="7"/>
  <c r="O360" i="7"/>
  <c r="P360" i="7"/>
  <c r="L361" i="7"/>
  <c r="M361" i="7"/>
  <c r="N361" i="7"/>
  <c r="O363" i="7"/>
  <c r="P363" i="7"/>
  <c r="L364" i="7"/>
  <c r="O364" i="7" s="1"/>
  <c r="M364" i="7"/>
  <c r="P364" i="7" s="1"/>
  <c r="N364" i="7"/>
  <c r="N362" i="7" s="1"/>
  <c r="J367" i="7"/>
  <c r="K367" i="7"/>
  <c r="I368" i="7"/>
  <c r="J368" i="7"/>
  <c r="I369" i="7"/>
  <c r="J369" i="7"/>
  <c r="J370" i="7"/>
  <c r="K370" i="7"/>
  <c r="I371" i="7"/>
  <c r="I365" i="7" s="1"/>
  <c r="J371" i="7"/>
  <c r="J365" i="7" s="1"/>
  <c r="J372" i="7"/>
  <c r="K372" i="7"/>
  <c r="D373" i="7"/>
  <c r="I376" i="7"/>
  <c r="J376" i="7"/>
  <c r="K376" i="7"/>
  <c r="L378" i="7"/>
  <c r="M378" i="7"/>
  <c r="N378" i="7"/>
  <c r="P378" i="7"/>
  <c r="O381" i="7"/>
  <c r="P381" i="7"/>
  <c r="L382" i="7"/>
  <c r="O382" i="7" s="1"/>
  <c r="M382" i="7"/>
  <c r="N382" i="7"/>
  <c r="N380" i="7" s="1"/>
  <c r="O384" i="7"/>
  <c r="P384" i="7"/>
  <c r="L385" i="7"/>
  <c r="O385" i="7" s="1"/>
  <c r="M385" i="7"/>
  <c r="P385" i="7" s="1"/>
  <c r="N385" i="7"/>
  <c r="N383" i="7" s="1"/>
  <c r="K387" i="7"/>
  <c r="K388" i="7"/>
  <c r="A391" i="7"/>
  <c r="L22" i="6"/>
  <c r="O22" i="6" s="1"/>
  <c r="M22" i="6"/>
  <c r="M19" i="6" s="1"/>
  <c r="N22" i="6"/>
  <c r="L25" i="6"/>
  <c r="M25" i="6"/>
  <c r="N25" i="6"/>
  <c r="N19" i="6" s="1"/>
  <c r="O25" i="6"/>
  <c r="P25" i="6"/>
  <c r="L45" i="6"/>
  <c r="O45" i="6" s="1"/>
  <c r="M45" i="6"/>
  <c r="P45" i="6" s="1"/>
  <c r="N45" i="6"/>
  <c r="O48" i="6"/>
  <c r="P48" i="6"/>
  <c r="L49" i="6"/>
  <c r="M49" i="6"/>
  <c r="M47" i="6" s="1"/>
  <c r="N49" i="6"/>
  <c r="O51" i="6"/>
  <c r="P51" i="6"/>
  <c r="L52" i="6"/>
  <c r="L50" i="6" s="1"/>
  <c r="O50" i="6" s="1"/>
  <c r="M52" i="6"/>
  <c r="M50" i="6" s="1"/>
  <c r="P50" i="6" s="1"/>
  <c r="N52" i="6"/>
  <c r="L60" i="6"/>
  <c r="O60" i="6" s="1"/>
  <c r="M60" i="6"/>
  <c r="N60" i="6"/>
  <c r="O63" i="6"/>
  <c r="P63" i="6"/>
  <c r="L64" i="6"/>
  <c r="L62" i="6" s="1"/>
  <c r="M64" i="6"/>
  <c r="M62" i="6" s="1"/>
  <c r="N64" i="6"/>
  <c r="O66" i="6"/>
  <c r="P66" i="6"/>
  <c r="L67" i="6"/>
  <c r="O67" i="6" s="1"/>
  <c r="M67" i="6"/>
  <c r="M65" i="6" s="1"/>
  <c r="P65" i="6" s="1"/>
  <c r="N67" i="6"/>
  <c r="N65" i="6" s="1"/>
  <c r="L73" i="6"/>
  <c r="O73" i="6" s="1"/>
  <c r="M73" i="6"/>
  <c r="P73" i="6" s="1"/>
  <c r="N73" i="6"/>
  <c r="O76" i="6"/>
  <c r="P76" i="6"/>
  <c r="L77" i="6"/>
  <c r="O77" i="6" s="1"/>
  <c r="M77" i="6"/>
  <c r="M75" i="6" s="1"/>
  <c r="P75" i="6" s="1"/>
  <c r="N77" i="6"/>
  <c r="N75" i="6" s="1"/>
  <c r="O79" i="6"/>
  <c r="P79" i="6"/>
  <c r="L80" i="6"/>
  <c r="O80" i="6" s="1"/>
  <c r="M80" i="6"/>
  <c r="M78" i="6" s="1"/>
  <c r="P78" i="6" s="1"/>
  <c r="N80" i="6"/>
  <c r="N78" i="6" s="1"/>
  <c r="J82" i="6"/>
  <c r="J70" i="6" s="1"/>
  <c r="J83" i="6"/>
  <c r="J71" i="6" s="1"/>
  <c r="I84" i="6"/>
  <c r="K84" i="6" s="1"/>
  <c r="I85" i="6"/>
  <c r="K85" i="6" s="1"/>
  <c r="I86" i="6"/>
  <c r="K86" i="6" s="1"/>
  <c r="I87" i="6"/>
  <c r="K87" i="6" s="1"/>
  <c r="I88" i="6"/>
  <c r="K88" i="6" s="1"/>
  <c r="I89" i="6"/>
  <c r="K89" i="6" s="1"/>
  <c r="I90" i="6"/>
  <c r="K90" i="6" s="1"/>
  <c r="J92" i="6"/>
  <c r="J93" i="6"/>
  <c r="L95" i="6"/>
  <c r="M95" i="6"/>
  <c r="P95" i="6" s="1"/>
  <c r="N95" i="6"/>
  <c r="O95" i="6"/>
  <c r="O98" i="6"/>
  <c r="P98" i="6"/>
  <c r="L99" i="6"/>
  <c r="L97" i="6" s="1"/>
  <c r="O97" i="6" s="1"/>
  <c r="M99" i="6"/>
  <c r="P99" i="6" s="1"/>
  <c r="N99" i="6"/>
  <c r="N97" i="6" s="1"/>
  <c r="O101" i="6"/>
  <c r="P101" i="6"/>
  <c r="L102" i="6"/>
  <c r="L100" i="6" s="1"/>
  <c r="O100" i="6" s="1"/>
  <c r="M102" i="6"/>
  <c r="M100" i="6" s="1"/>
  <c r="P100" i="6" s="1"/>
  <c r="N102" i="6"/>
  <c r="N100" i="6" s="1"/>
  <c r="I108" i="6"/>
  <c r="I92" i="6" s="1"/>
  <c r="K92" i="6" s="1"/>
  <c r="I109" i="6"/>
  <c r="I93" i="6" s="1"/>
  <c r="K93" i="6" s="1"/>
  <c r="I117" i="6"/>
  <c r="K117" i="6" s="1"/>
  <c r="L126" i="6"/>
  <c r="O126" i="6" s="1"/>
  <c r="M126" i="6"/>
  <c r="N126" i="6"/>
  <c r="P126" i="6"/>
  <c r="O129" i="6"/>
  <c r="P129" i="6"/>
  <c r="L130" i="6"/>
  <c r="L128" i="6" s="1"/>
  <c r="O128" i="6" s="1"/>
  <c r="M130" i="6"/>
  <c r="P130" i="6" s="1"/>
  <c r="N130" i="6"/>
  <c r="N128" i="6" s="1"/>
  <c r="O132" i="6"/>
  <c r="P132" i="6"/>
  <c r="L133" i="6"/>
  <c r="L131" i="6" s="1"/>
  <c r="O131" i="6" s="1"/>
  <c r="M133" i="6"/>
  <c r="P133" i="6" s="1"/>
  <c r="N133" i="6"/>
  <c r="N131" i="6" s="1"/>
  <c r="J136" i="6"/>
  <c r="J137" i="6"/>
  <c r="J138" i="6"/>
  <c r="L140" i="6"/>
  <c r="O140" i="6" s="1"/>
  <c r="M140" i="6"/>
  <c r="N140" i="6"/>
  <c r="P140" i="6"/>
  <c r="O143" i="6"/>
  <c r="P143" i="6"/>
  <c r="L144" i="6"/>
  <c r="L142" i="6" s="1"/>
  <c r="O142" i="6" s="1"/>
  <c r="M144" i="6"/>
  <c r="P144" i="6" s="1"/>
  <c r="N144" i="6"/>
  <c r="N142" i="6" s="1"/>
  <c r="O146" i="6"/>
  <c r="P146" i="6"/>
  <c r="L147" i="6"/>
  <c r="L145" i="6" s="1"/>
  <c r="O145" i="6" s="1"/>
  <c r="M147" i="6"/>
  <c r="P147" i="6" s="1"/>
  <c r="N147" i="6"/>
  <c r="N145" i="6" s="1"/>
  <c r="I150" i="6"/>
  <c r="K150" i="6" s="1"/>
  <c r="I151" i="6"/>
  <c r="K151" i="6" s="1"/>
  <c r="I152" i="6"/>
  <c r="I153" i="6"/>
  <c r="I138" i="6" s="1"/>
  <c r="K138" i="6" s="1"/>
  <c r="I154" i="6"/>
  <c r="K154" i="6" s="1"/>
  <c r="J156" i="6"/>
  <c r="L158" i="6"/>
  <c r="O158" i="6" s="1"/>
  <c r="M158" i="6"/>
  <c r="N158" i="6"/>
  <c r="O161" i="6"/>
  <c r="P161" i="6"/>
  <c r="L162" i="6"/>
  <c r="M162" i="6"/>
  <c r="M160" i="6" s="1"/>
  <c r="P160" i="6" s="1"/>
  <c r="N162" i="6"/>
  <c r="O164" i="6"/>
  <c r="P164" i="6"/>
  <c r="L165" i="6"/>
  <c r="L163" i="6" s="1"/>
  <c r="O163" i="6" s="1"/>
  <c r="M165" i="6"/>
  <c r="M163" i="6" s="1"/>
  <c r="P163" i="6" s="1"/>
  <c r="N165" i="6"/>
  <c r="N163" i="6" s="1"/>
  <c r="I167" i="6"/>
  <c r="J172" i="6"/>
  <c r="L174" i="6"/>
  <c r="O174" i="6" s="1"/>
  <c r="M174" i="6"/>
  <c r="P174" i="6" s="1"/>
  <c r="N174" i="6"/>
  <c r="O177" i="6"/>
  <c r="P177" i="6"/>
  <c r="L178" i="6"/>
  <c r="M178" i="6"/>
  <c r="N178" i="6"/>
  <c r="O180" i="6"/>
  <c r="P180" i="6"/>
  <c r="L181" i="6"/>
  <c r="L179" i="6" s="1"/>
  <c r="O179" i="6" s="1"/>
  <c r="M181" i="6"/>
  <c r="N181" i="6"/>
  <c r="N179" i="6" s="1"/>
  <c r="I183" i="6"/>
  <c r="K183" i="6" s="1"/>
  <c r="K184" i="6"/>
  <c r="L187" i="6"/>
  <c r="O187" i="6" s="1"/>
  <c r="M187" i="6"/>
  <c r="N187" i="6"/>
  <c r="O190" i="6"/>
  <c r="P190" i="6"/>
  <c r="L191" i="6"/>
  <c r="L189" i="6" s="1"/>
  <c r="M191" i="6"/>
  <c r="M189" i="6" s="1"/>
  <c r="N191" i="6"/>
  <c r="N189" i="6" s="1"/>
  <c r="O193" i="6"/>
  <c r="P193" i="6"/>
  <c r="L194" i="6"/>
  <c r="O194" i="6" s="1"/>
  <c r="M194" i="6"/>
  <c r="M192" i="6" s="1"/>
  <c r="P192" i="6" s="1"/>
  <c r="N194" i="6"/>
  <c r="N192" i="6" s="1"/>
  <c r="J195" i="6"/>
  <c r="L196" i="6"/>
  <c r="O196" i="6" s="1"/>
  <c r="P196" i="6"/>
  <c r="I198" i="6"/>
  <c r="K198" i="6" s="1"/>
  <c r="J199" i="6"/>
  <c r="J202" i="6"/>
  <c r="N203" i="6"/>
  <c r="P203" i="6"/>
  <c r="L204" i="6"/>
  <c r="L205" i="6"/>
  <c r="L206" i="6"/>
  <c r="L207" i="6"/>
  <c r="I209" i="6"/>
  <c r="I202" i="6" s="1"/>
  <c r="K202" i="6" s="1"/>
  <c r="I211" i="6"/>
  <c r="K211" i="6" s="1"/>
  <c r="I212" i="6"/>
  <c r="K212" i="6" s="1"/>
  <c r="J213" i="6"/>
  <c r="N214" i="6"/>
  <c r="P214" i="6"/>
  <c r="L215" i="6"/>
  <c r="L216" i="6"/>
  <c r="L217" i="6"/>
  <c r="I219" i="6"/>
  <c r="K219" i="6" s="1"/>
  <c r="I220" i="6"/>
  <c r="I213" i="6" s="1"/>
  <c r="K213" i="6" s="1"/>
  <c r="J221" i="6"/>
  <c r="N222" i="6"/>
  <c r="P222" i="6"/>
  <c r="L223" i="6"/>
  <c r="L224" i="6"/>
  <c r="L225" i="6"/>
  <c r="I228" i="6"/>
  <c r="K228" i="6" s="1"/>
  <c r="I229" i="6"/>
  <c r="I221" i="6" s="1"/>
  <c r="K221" i="6" s="1"/>
  <c r="I230" i="6"/>
  <c r="K230" i="6" s="1"/>
  <c r="N233" i="6"/>
  <c r="N234" i="6"/>
  <c r="N235" i="6"/>
  <c r="N236" i="6"/>
  <c r="J238" i="6"/>
  <c r="I240" i="6"/>
  <c r="K240" i="6" s="1"/>
  <c r="J240" i="6"/>
  <c r="I241" i="6"/>
  <c r="K241" i="6" s="1"/>
  <c r="J241" i="6"/>
  <c r="J242" i="6"/>
  <c r="N243" i="6"/>
  <c r="P243" i="6"/>
  <c r="L244" i="6"/>
  <c r="L245" i="6"/>
  <c r="L246" i="6"/>
  <c r="L247" i="6"/>
  <c r="I249" i="6"/>
  <c r="K249" i="6" s="1"/>
  <c r="K251" i="6"/>
  <c r="K252" i="6"/>
  <c r="J253" i="6"/>
  <c r="N254" i="6"/>
  <c r="P254" i="6"/>
  <c r="L255" i="6"/>
  <c r="L256" i="6"/>
  <c r="L257" i="6"/>
  <c r="L258" i="6"/>
  <c r="I260" i="6"/>
  <c r="K260" i="6" s="1"/>
  <c r="K262" i="6"/>
  <c r="K263" i="6"/>
  <c r="I265" i="6"/>
  <c r="K265" i="6" s="1"/>
  <c r="J265" i="6"/>
  <c r="L267" i="6"/>
  <c r="M267" i="6"/>
  <c r="P267" i="6" s="1"/>
  <c r="N267" i="6"/>
  <c r="O267" i="6"/>
  <c r="O270" i="6"/>
  <c r="P270" i="6"/>
  <c r="L271" i="6"/>
  <c r="L269" i="6" s="1"/>
  <c r="O269" i="6" s="1"/>
  <c r="M271" i="6"/>
  <c r="M269" i="6" s="1"/>
  <c r="P269" i="6" s="1"/>
  <c r="N271" i="6"/>
  <c r="N269" i="6" s="1"/>
  <c r="O273" i="6"/>
  <c r="P273" i="6"/>
  <c r="L274" i="6"/>
  <c r="L272" i="6" s="1"/>
  <c r="O272" i="6" s="1"/>
  <c r="M274" i="6"/>
  <c r="P274" i="6" s="1"/>
  <c r="N274" i="6"/>
  <c r="N272" i="6" s="1"/>
  <c r="J281" i="6"/>
  <c r="L283" i="6"/>
  <c r="O283" i="6" s="1"/>
  <c r="M283" i="6"/>
  <c r="N283" i="6"/>
  <c r="O286" i="6"/>
  <c r="P286" i="6"/>
  <c r="L287" i="6"/>
  <c r="L285" i="6" s="1"/>
  <c r="O285" i="6" s="1"/>
  <c r="M287" i="6"/>
  <c r="P287" i="6" s="1"/>
  <c r="N287" i="6"/>
  <c r="N285" i="6" s="1"/>
  <c r="O289" i="6"/>
  <c r="P289" i="6"/>
  <c r="L290" i="6"/>
  <c r="O290" i="6" s="1"/>
  <c r="M290" i="6"/>
  <c r="P290" i="6" s="1"/>
  <c r="N290" i="6"/>
  <c r="N288" i="6" s="1"/>
  <c r="I292" i="6"/>
  <c r="I281" i="6" s="1"/>
  <c r="K281" i="6" s="1"/>
  <c r="I293" i="6"/>
  <c r="K293" i="6" s="1"/>
  <c r="J293" i="6"/>
  <c r="J280" i="6" s="1"/>
  <c r="I295" i="6"/>
  <c r="K295" i="6" s="1"/>
  <c r="I296" i="6"/>
  <c r="K296" i="6" s="1"/>
  <c r="J302" i="6"/>
  <c r="L304" i="6"/>
  <c r="M304" i="6"/>
  <c r="P304" i="6" s="1"/>
  <c r="N304" i="6"/>
  <c r="O304" i="6"/>
  <c r="O307" i="6"/>
  <c r="P307" i="6"/>
  <c r="L308" i="6"/>
  <c r="M308" i="6"/>
  <c r="M306" i="6" s="1"/>
  <c r="N308" i="6"/>
  <c r="N306" i="6" s="1"/>
  <c r="O310" i="6"/>
  <c r="P310" i="6"/>
  <c r="L311" i="6"/>
  <c r="O311" i="6" s="1"/>
  <c r="M311" i="6"/>
  <c r="M309" i="6" s="1"/>
  <c r="P309" i="6" s="1"/>
  <c r="N311" i="6"/>
  <c r="N309" i="6" s="1"/>
  <c r="I314" i="6"/>
  <c r="K314" i="6" s="1"/>
  <c r="I315" i="6"/>
  <c r="K315" i="6" s="1"/>
  <c r="I316" i="6"/>
  <c r="K316" i="6" s="1"/>
  <c r="I317" i="6"/>
  <c r="K317" i="6" s="1"/>
  <c r="J319" i="6"/>
  <c r="L321" i="6"/>
  <c r="M321" i="6"/>
  <c r="P321" i="6" s="1"/>
  <c r="N321" i="6"/>
  <c r="O324" i="6"/>
  <c r="P324" i="6"/>
  <c r="L325" i="6"/>
  <c r="L323" i="6" s="1"/>
  <c r="O323" i="6" s="1"/>
  <c r="M325" i="6"/>
  <c r="M323" i="6" s="1"/>
  <c r="P323" i="6" s="1"/>
  <c r="N325" i="6"/>
  <c r="N323" i="6" s="1"/>
  <c r="O327" i="6"/>
  <c r="P327" i="6"/>
  <c r="L328" i="6"/>
  <c r="L326" i="6" s="1"/>
  <c r="O326" i="6" s="1"/>
  <c r="M328" i="6"/>
  <c r="M326" i="6" s="1"/>
  <c r="P326" i="6" s="1"/>
  <c r="N328" i="6"/>
  <c r="N326" i="6" s="1"/>
  <c r="I330" i="6"/>
  <c r="I319" i="6" s="1"/>
  <c r="K319" i="6" s="1"/>
  <c r="L334" i="6"/>
  <c r="M334" i="6"/>
  <c r="N334" i="6"/>
  <c r="O334" i="6"/>
  <c r="O337" i="6"/>
  <c r="P337" i="6"/>
  <c r="L338" i="6"/>
  <c r="M338" i="6"/>
  <c r="M336" i="6" s="1"/>
  <c r="N338" i="6"/>
  <c r="N336" i="6" s="1"/>
  <c r="O340" i="6"/>
  <c r="P340" i="6"/>
  <c r="L341" i="6"/>
  <c r="O341" i="6" s="1"/>
  <c r="M341" i="6"/>
  <c r="P341" i="6" s="1"/>
  <c r="N341" i="6"/>
  <c r="N339" i="6" s="1"/>
  <c r="I344" i="6"/>
  <c r="J344" i="6"/>
  <c r="I346" i="6"/>
  <c r="J346" i="6"/>
  <c r="J347" i="6"/>
  <c r="J348" i="6"/>
  <c r="J349" i="6"/>
  <c r="D350" i="6"/>
  <c r="J352" i="6"/>
  <c r="J353" i="6"/>
  <c r="D354" i="6"/>
  <c r="L357" i="6"/>
  <c r="O357" i="6" s="1"/>
  <c r="M357" i="6"/>
  <c r="N357" i="6"/>
  <c r="P357" i="6"/>
  <c r="O360" i="6"/>
  <c r="P360" i="6"/>
  <c r="L361" i="6"/>
  <c r="M361" i="6"/>
  <c r="M359" i="6" s="1"/>
  <c r="N361" i="6"/>
  <c r="N359" i="6" s="1"/>
  <c r="O363" i="6"/>
  <c r="P363" i="6"/>
  <c r="L364" i="6"/>
  <c r="O364" i="6" s="1"/>
  <c r="M364" i="6"/>
  <c r="P364" i="6" s="1"/>
  <c r="N364" i="6"/>
  <c r="N362" i="6" s="1"/>
  <c r="J367" i="6"/>
  <c r="K367" i="6"/>
  <c r="I368" i="6"/>
  <c r="J368" i="6"/>
  <c r="I369" i="6"/>
  <c r="J369" i="6"/>
  <c r="J370" i="6"/>
  <c r="K370" i="6"/>
  <c r="I371" i="6"/>
  <c r="J371" i="6"/>
  <c r="J365" i="6" s="1"/>
  <c r="J372" i="6"/>
  <c r="K372" i="6"/>
  <c r="D373" i="6"/>
  <c r="I376" i="6"/>
  <c r="K376" i="6" s="1"/>
  <c r="J376" i="6"/>
  <c r="L378" i="6"/>
  <c r="M378" i="6"/>
  <c r="N378" i="6"/>
  <c r="O378" i="6"/>
  <c r="P378" i="6"/>
  <c r="O381" i="6"/>
  <c r="P381" i="6"/>
  <c r="L382" i="6"/>
  <c r="M382" i="6"/>
  <c r="M380" i="6" s="1"/>
  <c r="P380" i="6" s="1"/>
  <c r="N382" i="6"/>
  <c r="O384" i="6"/>
  <c r="P384" i="6"/>
  <c r="L385" i="6"/>
  <c r="O385" i="6" s="1"/>
  <c r="M385" i="6"/>
  <c r="M383" i="6" s="1"/>
  <c r="P383" i="6" s="1"/>
  <c r="N385" i="6"/>
  <c r="N383" i="6" s="1"/>
  <c r="K387" i="6"/>
  <c r="K388" i="6"/>
  <c r="A391" i="6"/>
  <c r="L22" i="5"/>
  <c r="M22" i="5"/>
  <c r="N22" i="5"/>
  <c r="N19" i="5" s="1"/>
  <c r="O22" i="5"/>
  <c r="L25" i="5"/>
  <c r="M25" i="5"/>
  <c r="P25" i="5" s="1"/>
  <c r="N25" i="5"/>
  <c r="L45" i="5"/>
  <c r="M45" i="5"/>
  <c r="P45" i="5" s="1"/>
  <c r="N45" i="5"/>
  <c r="O45" i="5"/>
  <c r="O48" i="5"/>
  <c r="P48" i="5"/>
  <c r="L49" i="5"/>
  <c r="L47" i="5" s="1"/>
  <c r="M49" i="5"/>
  <c r="M47" i="5" s="1"/>
  <c r="N49" i="5"/>
  <c r="O51" i="5"/>
  <c r="P51" i="5"/>
  <c r="L52" i="5"/>
  <c r="O52" i="5" s="1"/>
  <c r="M52" i="5"/>
  <c r="M50" i="5" s="1"/>
  <c r="P50" i="5" s="1"/>
  <c r="N52" i="5"/>
  <c r="L60" i="5"/>
  <c r="O60" i="5" s="1"/>
  <c r="M60" i="5"/>
  <c r="N60" i="5"/>
  <c r="P60" i="5"/>
  <c r="O63" i="5"/>
  <c r="P63" i="5"/>
  <c r="L64" i="5"/>
  <c r="L62" i="5" s="1"/>
  <c r="M64" i="5"/>
  <c r="N64" i="5"/>
  <c r="O66" i="5"/>
  <c r="P66" i="5"/>
  <c r="L67" i="5"/>
  <c r="L65" i="5" s="1"/>
  <c r="O65" i="5" s="1"/>
  <c r="M67" i="5"/>
  <c r="N67" i="5"/>
  <c r="L73" i="5"/>
  <c r="O73" i="5" s="1"/>
  <c r="M73" i="5"/>
  <c r="N73" i="5"/>
  <c r="P73" i="5"/>
  <c r="O76" i="5"/>
  <c r="P76" i="5"/>
  <c r="L77" i="5"/>
  <c r="M77" i="5"/>
  <c r="N77" i="5"/>
  <c r="N75" i="5" s="1"/>
  <c r="O79" i="5"/>
  <c r="P79" i="5"/>
  <c r="L80" i="5"/>
  <c r="O80" i="5" s="1"/>
  <c r="M80" i="5"/>
  <c r="M78" i="5" s="1"/>
  <c r="P78" i="5" s="1"/>
  <c r="N80" i="5"/>
  <c r="N78" i="5" s="1"/>
  <c r="J82" i="5"/>
  <c r="J70" i="5" s="1"/>
  <c r="J83" i="5"/>
  <c r="J71" i="5" s="1"/>
  <c r="I84" i="5"/>
  <c r="K84" i="5" s="1"/>
  <c r="I85" i="5"/>
  <c r="K85" i="5" s="1"/>
  <c r="I86" i="5"/>
  <c r="K86" i="5" s="1"/>
  <c r="I87" i="5"/>
  <c r="K87" i="5" s="1"/>
  <c r="I88" i="5"/>
  <c r="K88" i="5" s="1"/>
  <c r="I89" i="5"/>
  <c r="K89" i="5" s="1"/>
  <c r="I90" i="5"/>
  <c r="K90" i="5" s="1"/>
  <c r="J92" i="5"/>
  <c r="J93" i="5"/>
  <c r="L95" i="5"/>
  <c r="M95" i="5"/>
  <c r="N95" i="5"/>
  <c r="P95" i="5"/>
  <c r="O98" i="5"/>
  <c r="P98" i="5"/>
  <c r="L99" i="5"/>
  <c r="L97" i="5" s="1"/>
  <c r="O97" i="5" s="1"/>
  <c r="M99" i="5"/>
  <c r="N99" i="5"/>
  <c r="O101" i="5"/>
  <c r="P101" i="5"/>
  <c r="L102" i="5"/>
  <c r="L100" i="5" s="1"/>
  <c r="O100" i="5" s="1"/>
  <c r="M102" i="5"/>
  <c r="P102" i="5" s="1"/>
  <c r="N102" i="5"/>
  <c r="N100" i="5" s="1"/>
  <c r="I108" i="5"/>
  <c r="I92" i="5" s="1"/>
  <c r="K92" i="5" s="1"/>
  <c r="I109" i="5"/>
  <c r="K109" i="5" s="1"/>
  <c r="I117" i="5"/>
  <c r="K117" i="5" s="1"/>
  <c r="L126" i="5"/>
  <c r="M126" i="5"/>
  <c r="P126" i="5" s="1"/>
  <c r="N126" i="5"/>
  <c r="O126" i="5"/>
  <c r="O129" i="5"/>
  <c r="P129" i="5"/>
  <c r="L130" i="5"/>
  <c r="L128" i="5" s="1"/>
  <c r="O128" i="5" s="1"/>
  <c r="M130" i="5"/>
  <c r="P130" i="5" s="1"/>
  <c r="N130" i="5"/>
  <c r="N128" i="5" s="1"/>
  <c r="O132" i="5"/>
  <c r="P132" i="5"/>
  <c r="L133" i="5"/>
  <c r="L131" i="5" s="1"/>
  <c r="O131" i="5" s="1"/>
  <c r="M133" i="5"/>
  <c r="M131" i="5" s="1"/>
  <c r="P131" i="5" s="1"/>
  <c r="N133" i="5"/>
  <c r="N131" i="5" s="1"/>
  <c r="J136" i="5"/>
  <c r="J137" i="5"/>
  <c r="J138" i="5"/>
  <c r="L140" i="5"/>
  <c r="O140" i="5" s="1"/>
  <c r="M140" i="5"/>
  <c r="P140" i="5" s="1"/>
  <c r="N140" i="5"/>
  <c r="O143" i="5"/>
  <c r="P143" i="5"/>
  <c r="L144" i="5"/>
  <c r="L142" i="5" s="1"/>
  <c r="M144" i="5"/>
  <c r="N144" i="5"/>
  <c r="O146" i="5"/>
  <c r="P146" i="5"/>
  <c r="L147" i="5"/>
  <c r="L145" i="5" s="1"/>
  <c r="O145" i="5" s="1"/>
  <c r="M147" i="5"/>
  <c r="P147" i="5" s="1"/>
  <c r="N147" i="5"/>
  <c r="N145" i="5" s="1"/>
  <c r="I150" i="5"/>
  <c r="K150" i="5" s="1"/>
  <c r="I151" i="5"/>
  <c r="K151" i="5" s="1"/>
  <c r="I152" i="5"/>
  <c r="K152" i="5" s="1"/>
  <c r="I153" i="5"/>
  <c r="I138" i="5" s="1"/>
  <c r="I154" i="5"/>
  <c r="I136" i="5" s="1"/>
  <c r="K136" i="5" s="1"/>
  <c r="J156" i="5"/>
  <c r="L158" i="5"/>
  <c r="M158" i="5"/>
  <c r="P158" i="5" s="1"/>
  <c r="N158" i="5"/>
  <c r="O161" i="5"/>
  <c r="P161" i="5"/>
  <c r="L162" i="5"/>
  <c r="L160" i="5" s="1"/>
  <c r="O160" i="5" s="1"/>
  <c r="M162" i="5"/>
  <c r="M160" i="5" s="1"/>
  <c r="P160" i="5" s="1"/>
  <c r="N162" i="5"/>
  <c r="N160" i="5" s="1"/>
  <c r="O164" i="5"/>
  <c r="P164" i="5"/>
  <c r="L165" i="5"/>
  <c r="O165" i="5" s="1"/>
  <c r="M165" i="5"/>
  <c r="M163" i="5" s="1"/>
  <c r="P163" i="5" s="1"/>
  <c r="N165" i="5"/>
  <c r="N163" i="5" s="1"/>
  <c r="I167" i="5"/>
  <c r="K167" i="5" s="1"/>
  <c r="I168" i="5"/>
  <c r="K168" i="5" s="1"/>
  <c r="I169" i="5"/>
  <c r="K169" i="5" s="1"/>
  <c r="J172" i="5"/>
  <c r="L174" i="5"/>
  <c r="O174" i="5" s="1"/>
  <c r="M174" i="5"/>
  <c r="N174" i="5"/>
  <c r="P174" i="5"/>
  <c r="O177" i="5"/>
  <c r="P177" i="5"/>
  <c r="L178" i="5"/>
  <c r="L176" i="5" s="1"/>
  <c r="O176" i="5" s="1"/>
  <c r="M178" i="5"/>
  <c r="M176" i="5" s="1"/>
  <c r="P176" i="5" s="1"/>
  <c r="N178" i="5"/>
  <c r="N176" i="5" s="1"/>
  <c r="O180" i="5"/>
  <c r="P180" i="5"/>
  <c r="L181" i="5"/>
  <c r="O181" i="5" s="1"/>
  <c r="M181" i="5"/>
  <c r="M179" i="5" s="1"/>
  <c r="P179" i="5" s="1"/>
  <c r="N181" i="5"/>
  <c r="N179" i="5" s="1"/>
  <c r="I183" i="5"/>
  <c r="K183" i="5" s="1"/>
  <c r="K184" i="5"/>
  <c r="L187" i="5"/>
  <c r="O187" i="5" s="1"/>
  <c r="M187" i="5"/>
  <c r="P187" i="5" s="1"/>
  <c r="N187" i="5"/>
  <c r="O190" i="5"/>
  <c r="P190" i="5"/>
  <c r="L191" i="5"/>
  <c r="L189" i="5" s="1"/>
  <c r="M191" i="5"/>
  <c r="N191" i="5"/>
  <c r="O193" i="5"/>
  <c r="P193" i="5"/>
  <c r="L194" i="5"/>
  <c r="O194" i="5" s="1"/>
  <c r="M194" i="5"/>
  <c r="N194" i="5"/>
  <c r="N192" i="5" s="1"/>
  <c r="J195" i="5"/>
  <c r="L196" i="5"/>
  <c r="O196" i="5" s="1"/>
  <c r="N196" i="5"/>
  <c r="P196" i="5"/>
  <c r="I198" i="5"/>
  <c r="I195" i="5" s="1"/>
  <c r="K195" i="5" s="1"/>
  <c r="J199" i="5"/>
  <c r="J202" i="5"/>
  <c r="N203" i="5"/>
  <c r="P203" i="5"/>
  <c r="L204" i="5"/>
  <c r="L205" i="5"/>
  <c r="L206" i="5"/>
  <c r="L207" i="5"/>
  <c r="I209" i="5"/>
  <c r="I211" i="5"/>
  <c r="K211" i="5" s="1"/>
  <c r="I212" i="5"/>
  <c r="K212" i="5" s="1"/>
  <c r="J213" i="5"/>
  <c r="N214" i="5"/>
  <c r="P214" i="5"/>
  <c r="L215" i="5"/>
  <c r="L216" i="5"/>
  <c r="L217" i="5"/>
  <c r="I219" i="5"/>
  <c r="K219" i="5" s="1"/>
  <c r="I220" i="5"/>
  <c r="K220" i="5" s="1"/>
  <c r="J221" i="5"/>
  <c r="N222" i="5"/>
  <c r="P222" i="5"/>
  <c r="L223" i="5"/>
  <c r="L224" i="5"/>
  <c r="L225" i="5"/>
  <c r="I228" i="5"/>
  <c r="K228" i="5" s="1"/>
  <c r="I229" i="5"/>
  <c r="I221" i="5" s="1"/>
  <c r="I230" i="5"/>
  <c r="K230" i="5" s="1"/>
  <c r="N233" i="5"/>
  <c r="N235" i="5"/>
  <c r="N236" i="5"/>
  <c r="J238" i="5"/>
  <c r="J240" i="5"/>
  <c r="J241" i="5"/>
  <c r="J242" i="5"/>
  <c r="N243" i="5"/>
  <c r="N232" i="5" s="1"/>
  <c r="P243" i="5"/>
  <c r="L244" i="5"/>
  <c r="L245" i="5"/>
  <c r="N245" i="5"/>
  <c r="N234" i="5" s="1"/>
  <c r="L246" i="5"/>
  <c r="L247" i="5"/>
  <c r="I249" i="5"/>
  <c r="K249" i="5" s="1"/>
  <c r="I251" i="5"/>
  <c r="I252" i="5"/>
  <c r="I241" i="5" s="1"/>
  <c r="K241" i="5" s="1"/>
  <c r="J253" i="5"/>
  <c r="N254" i="5"/>
  <c r="P254" i="5"/>
  <c r="L255" i="5"/>
  <c r="L256" i="5"/>
  <c r="L257" i="5"/>
  <c r="L258" i="5"/>
  <c r="I260" i="5"/>
  <c r="K262" i="5"/>
  <c r="K263" i="5"/>
  <c r="I265" i="5"/>
  <c r="J265" i="5"/>
  <c r="K265" i="5"/>
  <c r="L267" i="5"/>
  <c r="O267" i="5" s="1"/>
  <c r="M267" i="5"/>
  <c r="P267" i="5" s="1"/>
  <c r="N267" i="5"/>
  <c r="O270" i="5"/>
  <c r="P270" i="5"/>
  <c r="L271" i="5"/>
  <c r="L269" i="5" s="1"/>
  <c r="O269" i="5" s="1"/>
  <c r="M271" i="5"/>
  <c r="M269" i="5" s="1"/>
  <c r="P269" i="5" s="1"/>
  <c r="N271" i="5"/>
  <c r="N269" i="5" s="1"/>
  <c r="O273" i="5"/>
  <c r="P273" i="5"/>
  <c r="L274" i="5"/>
  <c r="L272" i="5" s="1"/>
  <c r="O272" i="5" s="1"/>
  <c r="M274" i="5"/>
  <c r="M272" i="5" s="1"/>
  <c r="P272" i="5" s="1"/>
  <c r="N274" i="5"/>
  <c r="N272" i="5" s="1"/>
  <c r="J281" i="5"/>
  <c r="L283" i="5"/>
  <c r="O283" i="5" s="1"/>
  <c r="M283" i="5"/>
  <c r="N283" i="5"/>
  <c r="P283" i="5"/>
  <c r="O286" i="5"/>
  <c r="P286" i="5"/>
  <c r="L287" i="5"/>
  <c r="M287" i="5"/>
  <c r="M285" i="5" s="1"/>
  <c r="P285" i="5" s="1"/>
  <c r="N287" i="5"/>
  <c r="O289" i="5"/>
  <c r="P289" i="5"/>
  <c r="L290" i="5"/>
  <c r="M290" i="5"/>
  <c r="M288" i="5" s="1"/>
  <c r="P288" i="5" s="1"/>
  <c r="N290" i="5"/>
  <c r="N288" i="5" s="1"/>
  <c r="I292" i="5"/>
  <c r="I281" i="5" s="1"/>
  <c r="K281" i="5" s="1"/>
  <c r="I293" i="5"/>
  <c r="J293" i="5"/>
  <c r="J280" i="5" s="1"/>
  <c r="I295" i="5"/>
  <c r="K295" i="5" s="1"/>
  <c r="I296" i="5"/>
  <c r="K296" i="5" s="1"/>
  <c r="J302" i="5"/>
  <c r="L304" i="5"/>
  <c r="O304" i="5" s="1"/>
  <c r="M304" i="5"/>
  <c r="P304" i="5" s="1"/>
  <c r="N304" i="5"/>
  <c r="O307" i="5"/>
  <c r="P307" i="5"/>
  <c r="L308" i="5"/>
  <c r="L306" i="5" s="1"/>
  <c r="O306" i="5" s="1"/>
  <c r="M308" i="5"/>
  <c r="M306" i="5" s="1"/>
  <c r="P306" i="5" s="1"/>
  <c r="N308" i="5"/>
  <c r="N306" i="5" s="1"/>
  <c r="O310" i="5"/>
  <c r="P310" i="5"/>
  <c r="L311" i="5"/>
  <c r="L309" i="5" s="1"/>
  <c r="O309" i="5" s="1"/>
  <c r="M311" i="5"/>
  <c r="M309" i="5" s="1"/>
  <c r="P309" i="5" s="1"/>
  <c r="N311" i="5"/>
  <c r="N309" i="5" s="1"/>
  <c r="I314" i="5"/>
  <c r="I302" i="5" s="1"/>
  <c r="K302" i="5" s="1"/>
  <c r="I315" i="5"/>
  <c r="K315" i="5" s="1"/>
  <c r="I316" i="5"/>
  <c r="K316" i="5" s="1"/>
  <c r="I317" i="5"/>
  <c r="K317" i="5" s="1"/>
  <c r="J319" i="5"/>
  <c r="L321" i="5"/>
  <c r="O321" i="5" s="1"/>
  <c r="M321" i="5"/>
  <c r="N321" i="5"/>
  <c r="P321" i="5"/>
  <c r="O324" i="5"/>
  <c r="P324" i="5"/>
  <c r="L325" i="5"/>
  <c r="L323" i="5" s="1"/>
  <c r="M325" i="5"/>
  <c r="N325" i="5"/>
  <c r="N323" i="5" s="1"/>
  <c r="O327" i="5"/>
  <c r="P327" i="5"/>
  <c r="L328" i="5"/>
  <c r="O328" i="5" s="1"/>
  <c r="M328" i="5"/>
  <c r="N328" i="5"/>
  <c r="I330" i="5"/>
  <c r="K330" i="5" s="1"/>
  <c r="L334" i="5"/>
  <c r="M334" i="5"/>
  <c r="P334" i="5" s="1"/>
  <c r="N334" i="5"/>
  <c r="O334" i="5"/>
  <c r="O337" i="5"/>
  <c r="P337" i="5"/>
  <c r="L338" i="5"/>
  <c r="M338" i="5"/>
  <c r="N338" i="5"/>
  <c r="N336" i="5" s="1"/>
  <c r="O340" i="5"/>
  <c r="P340" i="5"/>
  <c r="L341" i="5"/>
  <c r="L339" i="5" s="1"/>
  <c r="O339" i="5" s="1"/>
  <c r="M341" i="5"/>
  <c r="M339" i="5" s="1"/>
  <c r="P339" i="5" s="1"/>
  <c r="N341" i="5"/>
  <c r="N339" i="5" s="1"/>
  <c r="I344" i="5"/>
  <c r="I332" i="5" s="1"/>
  <c r="J344" i="5"/>
  <c r="I346" i="5"/>
  <c r="J346" i="5"/>
  <c r="J347" i="5"/>
  <c r="J348" i="5"/>
  <c r="J349" i="5"/>
  <c r="D350" i="5"/>
  <c r="J352" i="5"/>
  <c r="J353" i="5"/>
  <c r="D354" i="5"/>
  <c r="L357" i="5"/>
  <c r="M357" i="5"/>
  <c r="P357" i="5" s="1"/>
  <c r="N357" i="5"/>
  <c r="O357" i="5"/>
  <c r="O360" i="5"/>
  <c r="P360" i="5"/>
  <c r="L361" i="5"/>
  <c r="M361" i="5"/>
  <c r="M359" i="5" s="1"/>
  <c r="N361" i="5"/>
  <c r="O363" i="5"/>
  <c r="P363" i="5"/>
  <c r="L364" i="5"/>
  <c r="O364" i="5" s="1"/>
  <c r="M364" i="5"/>
  <c r="P364" i="5" s="1"/>
  <c r="N364" i="5"/>
  <c r="N362" i="5" s="1"/>
  <c r="J367" i="5"/>
  <c r="K367" i="5"/>
  <c r="I368" i="5"/>
  <c r="J368" i="5"/>
  <c r="I369" i="5"/>
  <c r="J369" i="5"/>
  <c r="J370" i="5"/>
  <c r="K370" i="5"/>
  <c r="I371" i="5"/>
  <c r="J371" i="5"/>
  <c r="J365" i="5" s="1"/>
  <c r="J372" i="5"/>
  <c r="K372" i="5"/>
  <c r="D373" i="5"/>
  <c r="I376" i="5"/>
  <c r="K376" i="5" s="1"/>
  <c r="J376" i="5"/>
  <c r="L378" i="5"/>
  <c r="M378" i="5"/>
  <c r="N378" i="5"/>
  <c r="P378" i="5"/>
  <c r="O381" i="5"/>
  <c r="P381" i="5"/>
  <c r="L382" i="5"/>
  <c r="M382" i="5"/>
  <c r="M380" i="5" s="1"/>
  <c r="P380" i="5" s="1"/>
  <c r="N382" i="5"/>
  <c r="N380" i="5" s="1"/>
  <c r="O384" i="5"/>
  <c r="P384" i="5"/>
  <c r="L385" i="5"/>
  <c r="O385" i="5" s="1"/>
  <c r="M385" i="5"/>
  <c r="M383" i="5" s="1"/>
  <c r="P383" i="5" s="1"/>
  <c r="N385" i="5"/>
  <c r="N383" i="5" s="1"/>
  <c r="K387" i="5"/>
  <c r="K388" i="5"/>
  <c r="A391" i="5"/>
  <c r="L22" i="4"/>
  <c r="O22" i="4" s="1"/>
  <c r="M22" i="4"/>
  <c r="N22" i="4"/>
  <c r="L25" i="4"/>
  <c r="M25" i="4"/>
  <c r="P25" i="4" s="1"/>
  <c r="N25" i="4"/>
  <c r="N19" i="4" s="1"/>
  <c r="L45" i="4"/>
  <c r="O45" i="4" s="1"/>
  <c r="M45" i="4"/>
  <c r="N45" i="4"/>
  <c r="P45" i="4"/>
  <c r="O48" i="4"/>
  <c r="P48" i="4"/>
  <c r="L49" i="4"/>
  <c r="M49" i="4"/>
  <c r="M47" i="4" s="1"/>
  <c r="N49" i="4"/>
  <c r="N47" i="4" s="1"/>
  <c r="O51" i="4"/>
  <c r="P51" i="4"/>
  <c r="L52" i="4"/>
  <c r="L50" i="4" s="1"/>
  <c r="O50" i="4" s="1"/>
  <c r="M52" i="4"/>
  <c r="N52" i="4"/>
  <c r="L60" i="4"/>
  <c r="M60" i="4"/>
  <c r="N60" i="4"/>
  <c r="O60" i="4"/>
  <c r="O63" i="4"/>
  <c r="P63" i="4"/>
  <c r="L64" i="4"/>
  <c r="L62" i="4" s="1"/>
  <c r="M64" i="4"/>
  <c r="N64" i="4"/>
  <c r="N62" i="4" s="1"/>
  <c r="O66" i="4"/>
  <c r="P66" i="4"/>
  <c r="L67" i="4"/>
  <c r="O67" i="4" s="1"/>
  <c r="M67" i="4"/>
  <c r="M65" i="4" s="1"/>
  <c r="P65" i="4" s="1"/>
  <c r="N67" i="4"/>
  <c r="N65" i="4" s="1"/>
  <c r="L73" i="4"/>
  <c r="O73" i="4" s="1"/>
  <c r="M73" i="4"/>
  <c r="P73" i="4" s="1"/>
  <c r="N73" i="4"/>
  <c r="O76" i="4"/>
  <c r="P76" i="4"/>
  <c r="L77" i="4"/>
  <c r="L75" i="4" s="1"/>
  <c r="O75" i="4" s="1"/>
  <c r="M77" i="4"/>
  <c r="N77" i="4"/>
  <c r="N75" i="4" s="1"/>
  <c r="O79" i="4"/>
  <c r="P79" i="4"/>
  <c r="L80" i="4"/>
  <c r="L78" i="4" s="1"/>
  <c r="O78" i="4" s="1"/>
  <c r="M80" i="4"/>
  <c r="N80" i="4"/>
  <c r="J82" i="4"/>
  <c r="J70" i="4" s="1"/>
  <c r="J83" i="4"/>
  <c r="J71" i="4" s="1"/>
  <c r="I84" i="4"/>
  <c r="K84" i="4" s="1"/>
  <c r="I85" i="4"/>
  <c r="I86" i="4"/>
  <c r="K86" i="4" s="1"/>
  <c r="I87" i="4"/>
  <c r="K87" i="4" s="1"/>
  <c r="I88" i="4"/>
  <c r="K88" i="4" s="1"/>
  <c r="I89" i="4"/>
  <c r="K89" i="4" s="1"/>
  <c r="I90" i="4"/>
  <c r="K90" i="4" s="1"/>
  <c r="J92" i="4"/>
  <c r="J93" i="4"/>
  <c r="L95" i="4"/>
  <c r="O95" i="4" s="1"/>
  <c r="M95" i="4"/>
  <c r="P95" i="4" s="1"/>
  <c r="N95" i="4"/>
  <c r="O98" i="4"/>
  <c r="P98" i="4"/>
  <c r="L99" i="4"/>
  <c r="L97" i="4" s="1"/>
  <c r="O97" i="4" s="1"/>
  <c r="M99" i="4"/>
  <c r="M97" i="4" s="1"/>
  <c r="P97" i="4" s="1"/>
  <c r="N99" i="4"/>
  <c r="N97" i="4" s="1"/>
  <c r="O101" i="4"/>
  <c r="P101" i="4"/>
  <c r="L102" i="4"/>
  <c r="L100" i="4" s="1"/>
  <c r="O100" i="4" s="1"/>
  <c r="M102" i="4"/>
  <c r="M100" i="4" s="1"/>
  <c r="P100" i="4" s="1"/>
  <c r="N102" i="4"/>
  <c r="N100" i="4" s="1"/>
  <c r="I108" i="4"/>
  <c r="I92" i="4" s="1"/>
  <c r="K92" i="4" s="1"/>
  <c r="I109" i="4"/>
  <c r="I93" i="4" s="1"/>
  <c r="K93" i="4" s="1"/>
  <c r="I117" i="4"/>
  <c r="K117" i="4" s="1"/>
  <c r="L126" i="4"/>
  <c r="M126" i="4"/>
  <c r="P126" i="4" s="1"/>
  <c r="N126" i="4"/>
  <c r="O129" i="4"/>
  <c r="P129" i="4"/>
  <c r="L130" i="4"/>
  <c r="L128" i="4" s="1"/>
  <c r="O128" i="4" s="1"/>
  <c r="M130" i="4"/>
  <c r="P130" i="4" s="1"/>
  <c r="N130" i="4"/>
  <c r="N128" i="4" s="1"/>
  <c r="O132" i="4"/>
  <c r="P132" i="4"/>
  <c r="L133" i="4"/>
  <c r="O133" i="4" s="1"/>
  <c r="M133" i="4"/>
  <c r="P133" i="4" s="1"/>
  <c r="N133" i="4"/>
  <c r="N131" i="4" s="1"/>
  <c r="J136" i="4"/>
  <c r="J137" i="4"/>
  <c r="J138" i="4"/>
  <c r="L140" i="4"/>
  <c r="M140" i="4"/>
  <c r="P140" i="4" s="1"/>
  <c r="N140" i="4"/>
  <c r="O143" i="4"/>
  <c r="P143" i="4"/>
  <c r="L144" i="4"/>
  <c r="L142" i="4" s="1"/>
  <c r="M144" i="4"/>
  <c r="N144" i="4"/>
  <c r="N142" i="4" s="1"/>
  <c r="O146" i="4"/>
  <c r="P146" i="4"/>
  <c r="L147" i="4"/>
  <c r="L145" i="4" s="1"/>
  <c r="O145" i="4" s="1"/>
  <c r="M147" i="4"/>
  <c r="P147" i="4" s="1"/>
  <c r="N147" i="4"/>
  <c r="N145" i="4" s="1"/>
  <c r="I150" i="4"/>
  <c r="K150" i="4" s="1"/>
  <c r="I151" i="4"/>
  <c r="K151" i="4" s="1"/>
  <c r="I152" i="4"/>
  <c r="I153" i="4"/>
  <c r="I138" i="4" s="1"/>
  <c r="I154" i="4"/>
  <c r="K154" i="4" s="1"/>
  <c r="J156" i="4"/>
  <c r="L158" i="4"/>
  <c r="O158" i="4" s="1"/>
  <c r="M158" i="4"/>
  <c r="P158" i="4" s="1"/>
  <c r="N158" i="4"/>
  <c r="O161" i="4"/>
  <c r="P161" i="4"/>
  <c r="L162" i="4"/>
  <c r="L160" i="4" s="1"/>
  <c r="M162" i="4"/>
  <c r="N162" i="4"/>
  <c r="N160" i="4" s="1"/>
  <c r="O164" i="4"/>
  <c r="P164" i="4"/>
  <c r="L165" i="4"/>
  <c r="O165" i="4" s="1"/>
  <c r="M165" i="4"/>
  <c r="P165" i="4" s="1"/>
  <c r="N165" i="4"/>
  <c r="N163" i="4" s="1"/>
  <c r="I167" i="4"/>
  <c r="I169" i="4" s="1"/>
  <c r="K169" i="4" s="1"/>
  <c r="J172" i="4"/>
  <c r="L174" i="4"/>
  <c r="O174" i="4" s="1"/>
  <c r="M174" i="4"/>
  <c r="P174" i="4" s="1"/>
  <c r="N174" i="4"/>
  <c r="O177" i="4"/>
  <c r="P177" i="4"/>
  <c r="L178" i="4"/>
  <c r="M178" i="4"/>
  <c r="M176" i="4" s="1"/>
  <c r="N178" i="4"/>
  <c r="N176" i="4" s="1"/>
  <c r="O180" i="4"/>
  <c r="P180" i="4"/>
  <c r="L181" i="4"/>
  <c r="O181" i="4" s="1"/>
  <c r="M181" i="4"/>
  <c r="P181" i="4" s="1"/>
  <c r="N181" i="4"/>
  <c r="N179" i="4" s="1"/>
  <c r="I183" i="4"/>
  <c r="K183" i="4" s="1"/>
  <c r="K184" i="4"/>
  <c r="L187" i="4"/>
  <c r="O187" i="4" s="1"/>
  <c r="M187" i="4"/>
  <c r="N187" i="4"/>
  <c r="O190" i="4"/>
  <c r="P190" i="4"/>
  <c r="L191" i="4"/>
  <c r="L189" i="4" s="1"/>
  <c r="M191" i="4"/>
  <c r="M189" i="4" s="1"/>
  <c r="N191" i="4"/>
  <c r="N189" i="4" s="1"/>
  <c r="O193" i="4"/>
  <c r="P193" i="4"/>
  <c r="L194" i="4"/>
  <c r="L192" i="4" s="1"/>
  <c r="O192" i="4" s="1"/>
  <c r="M194" i="4"/>
  <c r="P194" i="4" s="1"/>
  <c r="N194" i="4"/>
  <c r="N192" i="4" s="1"/>
  <c r="J195" i="4"/>
  <c r="L196" i="4"/>
  <c r="O196" i="4" s="1"/>
  <c r="P196" i="4"/>
  <c r="I198" i="4"/>
  <c r="I195" i="4" s="1"/>
  <c r="K195" i="4" s="1"/>
  <c r="J199" i="4"/>
  <c r="J202" i="4"/>
  <c r="N203" i="4"/>
  <c r="P203" i="4"/>
  <c r="L204" i="4"/>
  <c r="L205" i="4"/>
  <c r="L206" i="4"/>
  <c r="L207" i="4"/>
  <c r="I209" i="4"/>
  <c r="I202" i="4" s="1"/>
  <c r="K202" i="4" s="1"/>
  <c r="I211" i="4"/>
  <c r="K211" i="4" s="1"/>
  <c r="I212" i="4"/>
  <c r="K212" i="4" s="1"/>
  <c r="J213" i="4"/>
  <c r="N214" i="4"/>
  <c r="P214" i="4"/>
  <c r="L215" i="4"/>
  <c r="L216" i="4"/>
  <c r="L217" i="4"/>
  <c r="I219" i="4"/>
  <c r="K219" i="4" s="1"/>
  <c r="I220" i="4"/>
  <c r="I213" i="4" s="1"/>
  <c r="J221" i="4"/>
  <c r="N222" i="4"/>
  <c r="P222" i="4"/>
  <c r="L223" i="4"/>
  <c r="L224" i="4"/>
  <c r="L225" i="4"/>
  <c r="I228" i="4"/>
  <c r="K228" i="4" s="1"/>
  <c r="I229" i="4"/>
  <c r="I221" i="4" s="1"/>
  <c r="K221" i="4" s="1"/>
  <c r="I230" i="4"/>
  <c r="K230" i="4" s="1"/>
  <c r="N233" i="4"/>
  <c r="N234" i="4"/>
  <c r="N235" i="4"/>
  <c r="N236" i="4"/>
  <c r="J238" i="4"/>
  <c r="J240" i="4"/>
  <c r="J241" i="4"/>
  <c r="J242" i="4"/>
  <c r="N243" i="4"/>
  <c r="P243" i="4"/>
  <c r="L244" i="4"/>
  <c r="L245" i="4"/>
  <c r="L246" i="4"/>
  <c r="L247" i="4"/>
  <c r="I249" i="4"/>
  <c r="K249" i="4" s="1"/>
  <c r="I251" i="4"/>
  <c r="K251" i="4" s="1"/>
  <c r="I252" i="4"/>
  <c r="K252" i="4" s="1"/>
  <c r="J253" i="4"/>
  <c r="N254" i="4"/>
  <c r="P254" i="4"/>
  <c r="L255" i="4"/>
  <c r="L256" i="4"/>
  <c r="L257" i="4"/>
  <c r="L258" i="4"/>
  <c r="I260" i="4"/>
  <c r="K260" i="4" s="1"/>
  <c r="I262" i="4"/>
  <c r="K262" i="4" s="1"/>
  <c r="I263" i="4"/>
  <c r="K263" i="4" s="1"/>
  <c r="I265" i="4"/>
  <c r="J265" i="4"/>
  <c r="K265" i="4"/>
  <c r="L267" i="4"/>
  <c r="M267" i="4"/>
  <c r="N267" i="4"/>
  <c r="O270" i="4"/>
  <c r="P270" i="4"/>
  <c r="L271" i="4"/>
  <c r="O271" i="4" s="1"/>
  <c r="M271" i="4"/>
  <c r="M269" i="4" s="1"/>
  <c r="P269" i="4" s="1"/>
  <c r="N271" i="4"/>
  <c r="N269" i="4" s="1"/>
  <c r="O273" i="4"/>
  <c r="P273" i="4"/>
  <c r="L274" i="4"/>
  <c r="O274" i="4" s="1"/>
  <c r="M274" i="4"/>
  <c r="M272" i="4" s="1"/>
  <c r="P272" i="4" s="1"/>
  <c r="N274" i="4"/>
  <c r="N272" i="4" s="1"/>
  <c r="J281" i="4"/>
  <c r="L283" i="4"/>
  <c r="M283" i="4"/>
  <c r="P283" i="4" s="1"/>
  <c r="N283" i="4"/>
  <c r="O283" i="4"/>
  <c r="O286" i="4"/>
  <c r="P286" i="4"/>
  <c r="L287" i="4"/>
  <c r="M287" i="4"/>
  <c r="M285" i="4" s="1"/>
  <c r="P285" i="4" s="1"/>
  <c r="N287" i="4"/>
  <c r="N285" i="4" s="1"/>
  <c r="O289" i="4"/>
  <c r="P289" i="4"/>
  <c r="L290" i="4"/>
  <c r="L288" i="4" s="1"/>
  <c r="O288" i="4" s="1"/>
  <c r="M290" i="4"/>
  <c r="M288" i="4" s="1"/>
  <c r="P288" i="4" s="1"/>
  <c r="N290" i="4"/>
  <c r="I292" i="4"/>
  <c r="K292" i="4" s="1"/>
  <c r="I293" i="4"/>
  <c r="I280" i="4" s="1"/>
  <c r="K280" i="4" s="1"/>
  <c r="J293" i="4"/>
  <c r="J280" i="4" s="1"/>
  <c r="I295" i="4"/>
  <c r="K295" i="4" s="1"/>
  <c r="I296" i="4"/>
  <c r="K296" i="4" s="1"/>
  <c r="J302" i="4"/>
  <c r="L304" i="4"/>
  <c r="M304" i="4"/>
  <c r="P304" i="4" s="1"/>
  <c r="N304" i="4"/>
  <c r="O307" i="4"/>
  <c r="P307" i="4"/>
  <c r="L308" i="4"/>
  <c r="M308" i="4"/>
  <c r="M306" i="4" s="1"/>
  <c r="N308" i="4"/>
  <c r="O310" i="4"/>
  <c r="P310" i="4"/>
  <c r="L311" i="4"/>
  <c r="O311" i="4" s="1"/>
  <c r="M311" i="4"/>
  <c r="M309" i="4" s="1"/>
  <c r="P309" i="4" s="1"/>
  <c r="N311" i="4"/>
  <c r="N309" i="4" s="1"/>
  <c r="I314" i="4"/>
  <c r="I302" i="4" s="1"/>
  <c r="K302" i="4" s="1"/>
  <c r="I315" i="4"/>
  <c r="K315" i="4" s="1"/>
  <c r="I316" i="4"/>
  <c r="K316" i="4" s="1"/>
  <c r="I317" i="4"/>
  <c r="K317" i="4" s="1"/>
  <c r="J319" i="4"/>
  <c r="L321" i="4"/>
  <c r="O321" i="4" s="1"/>
  <c r="M321" i="4"/>
  <c r="N321" i="4"/>
  <c r="O324" i="4"/>
  <c r="P324" i="4"/>
  <c r="L325" i="4"/>
  <c r="M325" i="4"/>
  <c r="M323" i="4" s="1"/>
  <c r="P323" i="4" s="1"/>
  <c r="N325" i="4"/>
  <c r="N323" i="4" s="1"/>
  <c r="O327" i="4"/>
  <c r="P327" i="4"/>
  <c r="L328" i="4"/>
  <c r="L326" i="4" s="1"/>
  <c r="O326" i="4" s="1"/>
  <c r="M328" i="4"/>
  <c r="M326" i="4" s="1"/>
  <c r="P326" i="4" s="1"/>
  <c r="N328" i="4"/>
  <c r="N326" i="4" s="1"/>
  <c r="I330" i="4"/>
  <c r="I319" i="4" s="1"/>
  <c r="K319" i="4" s="1"/>
  <c r="L334" i="4"/>
  <c r="M334" i="4"/>
  <c r="P334" i="4" s="1"/>
  <c r="N334" i="4"/>
  <c r="O337" i="4"/>
  <c r="P337" i="4"/>
  <c r="L338" i="4"/>
  <c r="M338" i="4"/>
  <c r="N338" i="4"/>
  <c r="N336" i="4" s="1"/>
  <c r="O340" i="4"/>
  <c r="P340" i="4"/>
  <c r="L341" i="4"/>
  <c r="O341" i="4" s="1"/>
  <c r="M341" i="4"/>
  <c r="P341" i="4" s="1"/>
  <c r="N341" i="4"/>
  <c r="N339" i="4" s="1"/>
  <c r="I344" i="4"/>
  <c r="I332" i="4" s="1"/>
  <c r="J344" i="4"/>
  <c r="I346" i="4"/>
  <c r="J346" i="4"/>
  <c r="J347" i="4"/>
  <c r="J348" i="4"/>
  <c r="J349" i="4"/>
  <c r="D350" i="4"/>
  <c r="J352" i="4"/>
  <c r="J353" i="4"/>
  <c r="D354" i="4"/>
  <c r="L357" i="4"/>
  <c r="M357" i="4"/>
  <c r="P357" i="4" s="1"/>
  <c r="N357" i="4"/>
  <c r="O360" i="4"/>
  <c r="P360" i="4"/>
  <c r="L361" i="4"/>
  <c r="M361" i="4"/>
  <c r="N361" i="4"/>
  <c r="O363" i="4"/>
  <c r="P363" i="4"/>
  <c r="L364" i="4"/>
  <c r="O364" i="4" s="1"/>
  <c r="M364" i="4"/>
  <c r="P364" i="4" s="1"/>
  <c r="N364" i="4"/>
  <c r="N362" i="4" s="1"/>
  <c r="J367" i="4"/>
  <c r="K367" i="4"/>
  <c r="I368" i="4"/>
  <c r="J368" i="4"/>
  <c r="I369" i="4"/>
  <c r="J369" i="4"/>
  <c r="J370" i="4"/>
  <c r="K370" i="4"/>
  <c r="I371" i="4"/>
  <c r="J371" i="4"/>
  <c r="J365" i="4" s="1"/>
  <c r="J372" i="4"/>
  <c r="K372" i="4"/>
  <c r="D373" i="4"/>
  <c r="I376" i="4"/>
  <c r="K376" i="4" s="1"/>
  <c r="J376" i="4"/>
  <c r="L378" i="4"/>
  <c r="O378" i="4" s="1"/>
  <c r="M378" i="4"/>
  <c r="N378" i="4"/>
  <c r="O381" i="4"/>
  <c r="P381" i="4"/>
  <c r="L382" i="4"/>
  <c r="M382" i="4"/>
  <c r="M380" i="4" s="1"/>
  <c r="P380" i="4" s="1"/>
  <c r="N382" i="4"/>
  <c r="N380" i="4" s="1"/>
  <c r="O384" i="4"/>
  <c r="P384" i="4"/>
  <c r="L385" i="4"/>
  <c r="O385" i="4" s="1"/>
  <c r="M385" i="4"/>
  <c r="P385" i="4" s="1"/>
  <c r="N385" i="4"/>
  <c r="N383" i="4" s="1"/>
  <c r="K387" i="4"/>
  <c r="K388" i="4"/>
  <c r="A391" i="4"/>
  <c r="L19" i="3"/>
  <c r="O19" i="3" s="1"/>
  <c r="M19" i="3"/>
  <c r="P19" i="3" s="1"/>
  <c r="N19" i="3"/>
  <c r="L22" i="3"/>
  <c r="M22" i="3"/>
  <c r="N22" i="3"/>
  <c r="O22" i="3"/>
  <c r="P22" i="3"/>
  <c r="L25" i="3"/>
  <c r="M25" i="3"/>
  <c r="N25" i="3"/>
  <c r="P25" i="3"/>
  <c r="L45" i="3"/>
  <c r="M45" i="3"/>
  <c r="N45" i="3"/>
  <c r="O45" i="3"/>
  <c r="P45" i="3"/>
  <c r="O48" i="3"/>
  <c r="P48" i="3"/>
  <c r="L49" i="3"/>
  <c r="L47" i="3" s="1"/>
  <c r="M49" i="3"/>
  <c r="N49" i="3"/>
  <c r="O51" i="3"/>
  <c r="P51" i="3"/>
  <c r="L52" i="3"/>
  <c r="O52" i="3" s="1"/>
  <c r="M52" i="3"/>
  <c r="N52" i="3"/>
  <c r="L60" i="3"/>
  <c r="M60" i="3"/>
  <c r="P60" i="3" s="1"/>
  <c r="N60" i="3"/>
  <c r="O60" i="3"/>
  <c r="O63" i="3"/>
  <c r="P63" i="3"/>
  <c r="L64" i="3"/>
  <c r="L62" i="3" s="1"/>
  <c r="M64" i="3"/>
  <c r="M62" i="3" s="1"/>
  <c r="N64" i="3"/>
  <c r="O66" i="3"/>
  <c r="P66" i="3"/>
  <c r="L67" i="3"/>
  <c r="L65" i="3" s="1"/>
  <c r="O65" i="3" s="1"/>
  <c r="M67" i="3"/>
  <c r="M65" i="3" s="1"/>
  <c r="P65" i="3" s="1"/>
  <c r="N67" i="3"/>
  <c r="N65" i="3" s="1"/>
  <c r="J70" i="3"/>
  <c r="J71" i="3"/>
  <c r="L73" i="3"/>
  <c r="M73" i="3"/>
  <c r="N73" i="3"/>
  <c r="O73" i="3"/>
  <c r="P73" i="3"/>
  <c r="O76" i="3"/>
  <c r="P76" i="3"/>
  <c r="L77" i="3"/>
  <c r="M77" i="3"/>
  <c r="N77" i="3"/>
  <c r="O79" i="3"/>
  <c r="P79" i="3"/>
  <c r="L80" i="3"/>
  <c r="O80" i="3" s="1"/>
  <c r="M80" i="3"/>
  <c r="N80" i="3"/>
  <c r="N78" i="3" s="1"/>
  <c r="J82" i="3"/>
  <c r="J83" i="3"/>
  <c r="I84" i="3"/>
  <c r="K84" i="3" s="1"/>
  <c r="I85" i="3"/>
  <c r="K85" i="3" s="1"/>
  <c r="I86" i="3"/>
  <c r="K86" i="3" s="1"/>
  <c r="I87" i="3"/>
  <c r="K87" i="3" s="1"/>
  <c r="I88" i="3"/>
  <c r="K88" i="3" s="1"/>
  <c r="I89" i="3"/>
  <c r="K89" i="3" s="1"/>
  <c r="I90" i="3"/>
  <c r="K90" i="3" s="1"/>
  <c r="J92" i="3"/>
  <c r="J93" i="3"/>
  <c r="L95" i="3"/>
  <c r="M95" i="3"/>
  <c r="P95" i="3" s="1"/>
  <c r="N95" i="3"/>
  <c r="O95" i="3"/>
  <c r="O98" i="3"/>
  <c r="P98" i="3"/>
  <c r="L99" i="3"/>
  <c r="L97" i="3" s="1"/>
  <c r="O97" i="3" s="1"/>
  <c r="M99" i="3"/>
  <c r="M97" i="3" s="1"/>
  <c r="P97" i="3" s="1"/>
  <c r="N99" i="3"/>
  <c r="N97" i="3" s="1"/>
  <c r="O101" i="3"/>
  <c r="P101" i="3"/>
  <c r="L102" i="3"/>
  <c r="O102" i="3" s="1"/>
  <c r="M102" i="3"/>
  <c r="N102" i="3"/>
  <c r="N100" i="3" s="1"/>
  <c r="I108" i="3"/>
  <c r="I92" i="3" s="1"/>
  <c r="K92" i="3" s="1"/>
  <c r="I109" i="3"/>
  <c r="I93" i="3" s="1"/>
  <c r="K93" i="3" s="1"/>
  <c r="I117" i="3"/>
  <c r="K117" i="3" s="1"/>
  <c r="L126" i="3"/>
  <c r="M126" i="3"/>
  <c r="N126" i="3"/>
  <c r="O126" i="3"/>
  <c r="P126" i="3"/>
  <c r="O129" i="3"/>
  <c r="P129" i="3"/>
  <c r="L130" i="3"/>
  <c r="L128" i="3" s="1"/>
  <c r="O128" i="3" s="1"/>
  <c r="M130" i="3"/>
  <c r="P130" i="3" s="1"/>
  <c r="N130" i="3"/>
  <c r="N128" i="3" s="1"/>
  <c r="O132" i="3"/>
  <c r="P132" i="3"/>
  <c r="L133" i="3"/>
  <c r="M133" i="3"/>
  <c r="P133" i="3" s="1"/>
  <c r="N133" i="3"/>
  <c r="N131" i="3" s="1"/>
  <c r="J136" i="3"/>
  <c r="J137" i="3"/>
  <c r="J138" i="3"/>
  <c r="L140" i="3"/>
  <c r="O140" i="3" s="1"/>
  <c r="M140" i="3"/>
  <c r="N140" i="3"/>
  <c r="P140" i="3"/>
  <c r="O143" i="3"/>
  <c r="P143" i="3"/>
  <c r="L144" i="3"/>
  <c r="M144" i="3"/>
  <c r="P144" i="3" s="1"/>
  <c r="N144" i="3"/>
  <c r="N142" i="3" s="1"/>
  <c r="O146" i="3"/>
  <c r="P146" i="3"/>
  <c r="L147" i="3"/>
  <c r="O147" i="3" s="1"/>
  <c r="M147" i="3"/>
  <c r="P147" i="3" s="1"/>
  <c r="N147" i="3"/>
  <c r="N145" i="3" s="1"/>
  <c r="I150" i="3"/>
  <c r="K150" i="3" s="1"/>
  <c r="I151" i="3"/>
  <c r="K151" i="3" s="1"/>
  <c r="I152" i="3"/>
  <c r="I153" i="3"/>
  <c r="K153" i="3" s="1"/>
  <c r="I154" i="3"/>
  <c r="K154" i="3" s="1"/>
  <c r="J156" i="3"/>
  <c r="L158" i="3"/>
  <c r="O158" i="3" s="1"/>
  <c r="M158" i="3"/>
  <c r="P158" i="3" s="1"/>
  <c r="N158" i="3"/>
  <c r="O161" i="3"/>
  <c r="P161" i="3"/>
  <c r="L162" i="3"/>
  <c r="L160" i="3" s="1"/>
  <c r="O160" i="3" s="1"/>
  <c r="M162" i="3"/>
  <c r="N162" i="3"/>
  <c r="N160" i="3" s="1"/>
  <c r="O164" i="3"/>
  <c r="P164" i="3"/>
  <c r="L165" i="3"/>
  <c r="O165" i="3" s="1"/>
  <c r="M165" i="3"/>
  <c r="N165" i="3"/>
  <c r="N163" i="3" s="1"/>
  <c r="I167" i="3"/>
  <c r="K167" i="3" s="1"/>
  <c r="I168" i="3"/>
  <c r="K168" i="3" s="1"/>
  <c r="I169" i="3"/>
  <c r="K169" i="3" s="1"/>
  <c r="J172" i="3"/>
  <c r="L174" i="3"/>
  <c r="O174" i="3" s="1"/>
  <c r="M174" i="3"/>
  <c r="N174" i="3"/>
  <c r="P174" i="3"/>
  <c r="O177" i="3"/>
  <c r="P177" i="3"/>
  <c r="L178" i="3"/>
  <c r="L176" i="3" s="1"/>
  <c r="M178" i="3"/>
  <c r="N178" i="3"/>
  <c r="N176" i="3" s="1"/>
  <c r="O180" i="3"/>
  <c r="P180" i="3"/>
  <c r="L181" i="3"/>
  <c r="O181" i="3" s="1"/>
  <c r="M181" i="3"/>
  <c r="N181" i="3"/>
  <c r="I183" i="3"/>
  <c r="K183" i="3" s="1"/>
  <c r="K184" i="3"/>
  <c r="L187" i="3"/>
  <c r="M187" i="3"/>
  <c r="P187" i="3" s="1"/>
  <c r="N187" i="3"/>
  <c r="O187" i="3"/>
  <c r="O190" i="3"/>
  <c r="P190" i="3"/>
  <c r="L191" i="3"/>
  <c r="M191" i="3"/>
  <c r="M189" i="3" s="1"/>
  <c r="N191" i="3"/>
  <c r="N189" i="3" s="1"/>
  <c r="O193" i="3"/>
  <c r="P193" i="3"/>
  <c r="L194" i="3"/>
  <c r="O194" i="3" s="1"/>
  <c r="M194" i="3"/>
  <c r="M192" i="3" s="1"/>
  <c r="P192" i="3" s="1"/>
  <c r="N194" i="3"/>
  <c r="N192" i="3" s="1"/>
  <c r="J195" i="3"/>
  <c r="L196" i="3"/>
  <c r="O196" i="3" s="1"/>
  <c r="P196" i="3"/>
  <c r="I198" i="3"/>
  <c r="K198" i="3" s="1"/>
  <c r="J199" i="3"/>
  <c r="J202" i="3"/>
  <c r="N203" i="3"/>
  <c r="P203" i="3"/>
  <c r="L204" i="3"/>
  <c r="L205" i="3"/>
  <c r="L206" i="3"/>
  <c r="L207" i="3"/>
  <c r="I209" i="3"/>
  <c r="K209" i="3" s="1"/>
  <c r="I211" i="3"/>
  <c r="K211" i="3" s="1"/>
  <c r="I212" i="3"/>
  <c r="K212" i="3" s="1"/>
  <c r="J213" i="3"/>
  <c r="N214" i="3"/>
  <c r="P214" i="3"/>
  <c r="L215" i="3"/>
  <c r="L216" i="3"/>
  <c r="L217" i="3"/>
  <c r="I219" i="3"/>
  <c r="K219" i="3" s="1"/>
  <c r="I220" i="3"/>
  <c r="I213" i="3" s="1"/>
  <c r="J221" i="3"/>
  <c r="N222" i="3"/>
  <c r="P222" i="3"/>
  <c r="L223" i="3"/>
  <c r="L224" i="3"/>
  <c r="L225" i="3"/>
  <c r="I228" i="3"/>
  <c r="K228" i="3" s="1"/>
  <c r="I229" i="3"/>
  <c r="I221" i="3" s="1"/>
  <c r="K221" i="3" s="1"/>
  <c r="I230" i="3"/>
  <c r="K230" i="3" s="1"/>
  <c r="J231" i="3"/>
  <c r="J185" i="3" s="1"/>
  <c r="N233" i="3"/>
  <c r="N234" i="3"/>
  <c r="N235" i="3"/>
  <c r="N236" i="3"/>
  <c r="J238" i="3"/>
  <c r="J240" i="3"/>
  <c r="J241" i="3"/>
  <c r="J242" i="3"/>
  <c r="N243" i="3"/>
  <c r="P243" i="3"/>
  <c r="L244" i="3"/>
  <c r="L245" i="3"/>
  <c r="L246" i="3"/>
  <c r="L247" i="3"/>
  <c r="I249" i="3"/>
  <c r="I242" i="3" s="1"/>
  <c r="I251" i="3"/>
  <c r="K251" i="3" s="1"/>
  <c r="I252" i="3"/>
  <c r="K252" i="3" s="1"/>
  <c r="J253" i="3"/>
  <c r="N254" i="3"/>
  <c r="N232" i="3" s="1"/>
  <c r="P254" i="3"/>
  <c r="L255" i="3"/>
  <c r="L256" i="3"/>
  <c r="L257" i="3"/>
  <c r="L258" i="3"/>
  <c r="I260" i="3"/>
  <c r="I253" i="3" s="1"/>
  <c r="K253" i="3" s="1"/>
  <c r="K262" i="3"/>
  <c r="K263" i="3"/>
  <c r="I265" i="3"/>
  <c r="J265" i="3"/>
  <c r="K265" i="3"/>
  <c r="L267" i="3"/>
  <c r="O267" i="3" s="1"/>
  <c r="M267" i="3"/>
  <c r="P267" i="3" s="1"/>
  <c r="N267" i="3"/>
  <c r="O270" i="3"/>
  <c r="P270" i="3"/>
  <c r="L271" i="3"/>
  <c r="L269" i="3" s="1"/>
  <c r="O269" i="3" s="1"/>
  <c r="M271" i="3"/>
  <c r="M269" i="3" s="1"/>
  <c r="P269" i="3" s="1"/>
  <c r="N271" i="3"/>
  <c r="N269" i="3" s="1"/>
  <c r="O273" i="3"/>
  <c r="P273" i="3"/>
  <c r="L274" i="3"/>
  <c r="L272" i="3" s="1"/>
  <c r="O272" i="3" s="1"/>
  <c r="M274" i="3"/>
  <c r="P274" i="3" s="1"/>
  <c r="N274" i="3"/>
  <c r="N272" i="3" s="1"/>
  <c r="J280" i="3"/>
  <c r="J281" i="3"/>
  <c r="L283" i="3"/>
  <c r="M283" i="3"/>
  <c r="N283" i="3"/>
  <c r="O283" i="3"/>
  <c r="P283" i="3"/>
  <c r="O286" i="3"/>
  <c r="P286" i="3"/>
  <c r="L287" i="3"/>
  <c r="O287" i="3" s="1"/>
  <c r="M287" i="3"/>
  <c r="M285" i="3" s="1"/>
  <c r="P285" i="3" s="1"/>
  <c r="N287" i="3"/>
  <c r="N285" i="3" s="1"/>
  <c r="O289" i="3"/>
  <c r="P289" i="3"/>
  <c r="L290" i="3"/>
  <c r="O290" i="3" s="1"/>
  <c r="M290" i="3"/>
  <c r="M288" i="3" s="1"/>
  <c r="P288" i="3" s="1"/>
  <c r="N290" i="3"/>
  <c r="N288" i="3" s="1"/>
  <c r="I292" i="3"/>
  <c r="I281" i="3" s="1"/>
  <c r="K281" i="3" s="1"/>
  <c r="I293" i="3"/>
  <c r="I280" i="3" s="1"/>
  <c r="K280" i="3" s="1"/>
  <c r="J293" i="3"/>
  <c r="I295" i="3"/>
  <c r="K295" i="3" s="1"/>
  <c r="I296" i="3"/>
  <c r="K296" i="3" s="1"/>
  <c r="J302" i="3"/>
  <c r="L304" i="3"/>
  <c r="O304" i="3" s="1"/>
  <c r="M304" i="3"/>
  <c r="P304" i="3" s="1"/>
  <c r="N304" i="3"/>
  <c r="O307" i="3"/>
  <c r="P307" i="3"/>
  <c r="L308" i="3"/>
  <c r="L306" i="3" s="1"/>
  <c r="O306" i="3" s="1"/>
  <c r="M308" i="3"/>
  <c r="M306" i="3" s="1"/>
  <c r="P306" i="3" s="1"/>
  <c r="N308" i="3"/>
  <c r="N306" i="3" s="1"/>
  <c r="O310" i="3"/>
  <c r="P310" i="3"/>
  <c r="L311" i="3"/>
  <c r="L309" i="3" s="1"/>
  <c r="O309" i="3" s="1"/>
  <c r="M311" i="3"/>
  <c r="P311" i="3" s="1"/>
  <c r="N311" i="3"/>
  <c r="N309" i="3" s="1"/>
  <c r="I314" i="3"/>
  <c r="I302" i="3" s="1"/>
  <c r="K302" i="3" s="1"/>
  <c r="I315" i="3"/>
  <c r="K315" i="3" s="1"/>
  <c r="I316" i="3"/>
  <c r="K316" i="3" s="1"/>
  <c r="I317" i="3"/>
  <c r="K317" i="3" s="1"/>
  <c r="J319" i="3"/>
  <c r="L321" i="3"/>
  <c r="M321" i="3"/>
  <c r="N321" i="3"/>
  <c r="O321" i="3"/>
  <c r="P321" i="3"/>
  <c r="O324" i="3"/>
  <c r="P324" i="3"/>
  <c r="L325" i="3"/>
  <c r="M325" i="3"/>
  <c r="M323" i="3" s="1"/>
  <c r="P323" i="3" s="1"/>
  <c r="N325" i="3"/>
  <c r="N323" i="3" s="1"/>
  <c r="O327" i="3"/>
  <c r="P327" i="3"/>
  <c r="L328" i="3"/>
  <c r="M328" i="3"/>
  <c r="M326" i="3" s="1"/>
  <c r="P326" i="3" s="1"/>
  <c r="N328" i="3"/>
  <c r="N326" i="3" s="1"/>
  <c r="I330" i="3"/>
  <c r="I319" i="3" s="1"/>
  <c r="K319" i="3" s="1"/>
  <c r="L334" i="3"/>
  <c r="M334" i="3"/>
  <c r="P334" i="3" s="1"/>
  <c r="N334" i="3"/>
  <c r="O334" i="3"/>
  <c r="O337" i="3"/>
  <c r="P337" i="3"/>
  <c r="L338" i="3"/>
  <c r="M338" i="3"/>
  <c r="M336" i="3" s="1"/>
  <c r="N338" i="3"/>
  <c r="N336" i="3" s="1"/>
  <c r="O340" i="3"/>
  <c r="P340" i="3"/>
  <c r="L341" i="3"/>
  <c r="L339" i="3" s="1"/>
  <c r="O339" i="3" s="1"/>
  <c r="M341" i="3"/>
  <c r="M339" i="3" s="1"/>
  <c r="P339" i="3" s="1"/>
  <c r="N341" i="3"/>
  <c r="N339" i="3" s="1"/>
  <c r="I344" i="3"/>
  <c r="I332" i="3" s="1"/>
  <c r="J344" i="3"/>
  <c r="I346" i="3"/>
  <c r="J346" i="3"/>
  <c r="J347" i="3"/>
  <c r="J348" i="3"/>
  <c r="J349" i="3"/>
  <c r="D350" i="3"/>
  <c r="J352" i="3"/>
  <c r="J353" i="3"/>
  <c r="D354" i="3"/>
  <c r="L357" i="3"/>
  <c r="M357" i="3"/>
  <c r="P357" i="3" s="1"/>
  <c r="N357" i="3"/>
  <c r="O357" i="3"/>
  <c r="O360" i="3"/>
  <c r="P360" i="3"/>
  <c r="L361" i="3"/>
  <c r="L359" i="3" s="1"/>
  <c r="M361" i="3"/>
  <c r="N361" i="3"/>
  <c r="O363" i="3"/>
  <c r="P363" i="3"/>
  <c r="L364" i="3"/>
  <c r="L362" i="3" s="1"/>
  <c r="O362" i="3" s="1"/>
  <c r="M364" i="3"/>
  <c r="M362" i="3" s="1"/>
  <c r="P362" i="3" s="1"/>
  <c r="N364" i="3"/>
  <c r="N362" i="3" s="1"/>
  <c r="J367" i="3"/>
  <c r="K367" i="3"/>
  <c r="I368" i="3"/>
  <c r="J368" i="3"/>
  <c r="I369" i="3"/>
  <c r="J369" i="3"/>
  <c r="J370" i="3"/>
  <c r="K370" i="3"/>
  <c r="I371" i="3"/>
  <c r="J371" i="3"/>
  <c r="J365" i="3" s="1"/>
  <c r="J372" i="3"/>
  <c r="K372" i="3"/>
  <c r="D373" i="3"/>
  <c r="I376" i="3"/>
  <c r="K376" i="3" s="1"/>
  <c r="J376" i="3"/>
  <c r="L378" i="3"/>
  <c r="M378" i="3"/>
  <c r="P378" i="3" s="1"/>
  <c r="N378" i="3"/>
  <c r="O378" i="3"/>
  <c r="O381" i="3"/>
  <c r="P381" i="3"/>
  <c r="L382" i="3"/>
  <c r="L380" i="3" s="1"/>
  <c r="O380" i="3" s="1"/>
  <c r="M382" i="3"/>
  <c r="M380" i="3" s="1"/>
  <c r="P380" i="3" s="1"/>
  <c r="N382" i="3"/>
  <c r="N380" i="3" s="1"/>
  <c r="O384" i="3"/>
  <c r="P384" i="3"/>
  <c r="L385" i="3"/>
  <c r="L383" i="3" s="1"/>
  <c r="O383" i="3" s="1"/>
  <c r="M385" i="3"/>
  <c r="M383" i="3" s="1"/>
  <c r="P383" i="3" s="1"/>
  <c r="N385" i="3"/>
  <c r="N383" i="3" s="1"/>
  <c r="K387" i="3"/>
  <c r="K388" i="3"/>
  <c r="A391" i="3"/>
  <c r="L22" i="2"/>
  <c r="L19" i="2" s="1"/>
  <c r="M22" i="2"/>
  <c r="N22" i="2"/>
  <c r="N19" i="2" s="1"/>
  <c r="L25" i="2"/>
  <c r="M25" i="2"/>
  <c r="N25" i="2"/>
  <c r="P25" i="2"/>
  <c r="L45" i="2"/>
  <c r="O45" i="2" s="1"/>
  <c r="M45" i="2"/>
  <c r="N45" i="2"/>
  <c r="P45" i="2"/>
  <c r="O48" i="2"/>
  <c r="P48" i="2"/>
  <c r="L49" i="2"/>
  <c r="L47" i="2" s="1"/>
  <c r="M49" i="2"/>
  <c r="N49" i="2"/>
  <c r="N47" i="2" s="1"/>
  <c r="O51" i="2"/>
  <c r="P51" i="2"/>
  <c r="L52" i="2"/>
  <c r="L50" i="2" s="1"/>
  <c r="O50" i="2" s="1"/>
  <c r="M52" i="2"/>
  <c r="P52" i="2" s="1"/>
  <c r="N52" i="2"/>
  <c r="L60" i="2"/>
  <c r="O60" i="2" s="1"/>
  <c r="M60" i="2"/>
  <c r="N60" i="2"/>
  <c r="O63" i="2"/>
  <c r="P63" i="2"/>
  <c r="L64" i="2"/>
  <c r="M64" i="2"/>
  <c r="M62" i="2" s="1"/>
  <c r="N64" i="2"/>
  <c r="O66" i="2"/>
  <c r="P66" i="2"/>
  <c r="L67" i="2"/>
  <c r="O67" i="2" s="1"/>
  <c r="M67" i="2"/>
  <c r="M65" i="2" s="1"/>
  <c r="P65" i="2" s="1"/>
  <c r="N67" i="2"/>
  <c r="N65" i="2" s="1"/>
  <c r="L73" i="2"/>
  <c r="O73" i="2" s="1"/>
  <c r="M73" i="2"/>
  <c r="P73" i="2" s="1"/>
  <c r="N73" i="2"/>
  <c r="O76" i="2"/>
  <c r="P76" i="2"/>
  <c r="L77" i="2"/>
  <c r="L75" i="2" s="1"/>
  <c r="O75" i="2" s="1"/>
  <c r="M77" i="2"/>
  <c r="N77" i="2"/>
  <c r="N75" i="2" s="1"/>
  <c r="O79" i="2"/>
  <c r="P79" i="2"/>
  <c r="L80" i="2"/>
  <c r="L78" i="2" s="1"/>
  <c r="O78" i="2" s="1"/>
  <c r="M80" i="2"/>
  <c r="P80" i="2" s="1"/>
  <c r="N80" i="2"/>
  <c r="N78" i="2" s="1"/>
  <c r="J82" i="2"/>
  <c r="J70" i="2" s="1"/>
  <c r="J83" i="2"/>
  <c r="J71" i="2" s="1"/>
  <c r="I84" i="2"/>
  <c r="K84" i="2" s="1"/>
  <c r="I85" i="2"/>
  <c r="K85" i="2" s="1"/>
  <c r="I86" i="2"/>
  <c r="K86" i="2" s="1"/>
  <c r="I87" i="2"/>
  <c r="I88" i="2"/>
  <c r="K88" i="2" s="1"/>
  <c r="I89" i="2"/>
  <c r="K89" i="2" s="1"/>
  <c r="I90" i="2"/>
  <c r="K90" i="2" s="1"/>
  <c r="J92" i="2"/>
  <c r="J93" i="2"/>
  <c r="L95" i="2"/>
  <c r="O95" i="2" s="1"/>
  <c r="M95" i="2"/>
  <c r="P95" i="2" s="1"/>
  <c r="N95" i="2"/>
  <c r="O98" i="2"/>
  <c r="P98" i="2"/>
  <c r="L99" i="2"/>
  <c r="M99" i="2"/>
  <c r="M97" i="2" s="1"/>
  <c r="P97" i="2" s="1"/>
  <c r="N99" i="2"/>
  <c r="O101" i="2"/>
  <c r="P101" i="2"/>
  <c r="L102" i="2"/>
  <c r="M102" i="2"/>
  <c r="M100" i="2" s="1"/>
  <c r="P100" i="2" s="1"/>
  <c r="N102" i="2"/>
  <c r="N100" i="2" s="1"/>
  <c r="I108" i="2"/>
  <c r="I92" i="2" s="1"/>
  <c r="K92" i="2" s="1"/>
  <c r="I109" i="2"/>
  <c r="K109" i="2" s="1"/>
  <c r="I117" i="2"/>
  <c r="K117" i="2" s="1"/>
  <c r="L126" i="2"/>
  <c r="O126" i="2" s="1"/>
  <c r="M126" i="2"/>
  <c r="N126" i="2"/>
  <c r="P126" i="2"/>
  <c r="O129" i="2"/>
  <c r="P129" i="2"/>
  <c r="L130" i="2"/>
  <c r="L128" i="2" s="1"/>
  <c r="O128" i="2" s="1"/>
  <c r="M130" i="2"/>
  <c r="N130" i="2"/>
  <c r="O132" i="2"/>
  <c r="P132" i="2"/>
  <c r="L133" i="2"/>
  <c r="L131" i="2" s="1"/>
  <c r="O131" i="2" s="1"/>
  <c r="M133" i="2"/>
  <c r="N133" i="2"/>
  <c r="N131" i="2" s="1"/>
  <c r="J136" i="2"/>
  <c r="J137" i="2"/>
  <c r="J138" i="2"/>
  <c r="L140" i="2"/>
  <c r="M140" i="2"/>
  <c r="N140" i="2"/>
  <c r="P140" i="2"/>
  <c r="O143" i="2"/>
  <c r="P143" i="2"/>
  <c r="L144" i="2"/>
  <c r="L142" i="2" s="1"/>
  <c r="M144" i="2"/>
  <c r="N144" i="2"/>
  <c r="O146" i="2"/>
  <c r="P146" i="2"/>
  <c r="L147" i="2"/>
  <c r="L145" i="2" s="1"/>
  <c r="O145" i="2" s="1"/>
  <c r="M147" i="2"/>
  <c r="N147" i="2"/>
  <c r="N145" i="2" s="1"/>
  <c r="I150" i="2"/>
  <c r="K150" i="2" s="1"/>
  <c r="I151" i="2"/>
  <c r="K151" i="2" s="1"/>
  <c r="I152" i="2"/>
  <c r="I153" i="2"/>
  <c r="I138" i="2" s="1"/>
  <c r="K138" i="2" s="1"/>
  <c r="I154" i="2"/>
  <c r="J156" i="2"/>
  <c r="L158" i="2"/>
  <c r="O158" i="2" s="1"/>
  <c r="M158" i="2"/>
  <c r="N158" i="2"/>
  <c r="P158" i="2"/>
  <c r="O161" i="2"/>
  <c r="P161" i="2"/>
  <c r="L162" i="2"/>
  <c r="L160" i="2" s="1"/>
  <c r="M162" i="2"/>
  <c r="N162" i="2"/>
  <c r="N160" i="2" s="1"/>
  <c r="O164" i="2"/>
  <c r="P164" i="2"/>
  <c r="L165" i="2"/>
  <c r="O165" i="2" s="1"/>
  <c r="M165" i="2"/>
  <c r="M163" i="2" s="1"/>
  <c r="P163" i="2" s="1"/>
  <c r="N165" i="2"/>
  <c r="N163" i="2" s="1"/>
  <c r="I167" i="2"/>
  <c r="I156" i="2" s="1"/>
  <c r="K156" i="2" s="1"/>
  <c r="J172" i="2"/>
  <c r="L174" i="2"/>
  <c r="M174" i="2"/>
  <c r="N174" i="2"/>
  <c r="O174" i="2"/>
  <c r="O177" i="2"/>
  <c r="P177" i="2"/>
  <c r="L178" i="2"/>
  <c r="L176" i="2" s="1"/>
  <c r="M178" i="2"/>
  <c r="N178" i="2"/>
  <c r="O180" i="2"/>
  <c r="P180" i="2"/>
  <c r="L181" i="2"/>
  <c r="O181" i="2" s="1"/>
  <c r="M181" i="2"/>
  <c r="M179" i="2" s="1"/>
  <c r="P179" i="2" s="1"/>
  <c r="N181" i="2"/>
  <c r="N179" i="2" s="1"/>
  <c r="I183" i="2"/>
  <c r="K183" i="2" s="1"/>
  <c r="K184" i="2"/>
  <c r="L187" i="2"/>
  <c r="O187" i="2" s="1"/>
  <c r="M187" i="2"/>
  <c r="P187" i="2" s="1"/>
  <c r="N187" i="2"/>
  <c r="O190" i="2"/>
  <c r="P190" i="2"/>
  <c r="L191" i="2"/>
  <c r="L189" i="2" s="1"/>
  <c r="M191" i="2"/>
  <c r="M189" i="2" s="1"/>
  <c r="N191" i="2"/>
  <c r="N189" i="2" s="1"/>
  <c r="O193" i="2"/>
  <c r="P193" i="2"/>
  <c r="L194" i="2"/>
  <c r="O194" i="2" s="1"/>
  <c r="M194" i="2"/>
  <c r="P194" i="2" s="1"/>
  <c r="N194" i="2"/>
  <c r="N192" i="2" s="1"/>
  <c r="J195" i="2"/>
  <c r="L196" i="2"/>
  <c r="O196" i="2" s="1"/>
  <c r="P196" i="2"/>
  <c r="I198" i="2"/>
  <c r="K198" i="2" s="1"/>
  <c r="J199" i="2"/>
  <c r="J202" i="2"/>
  <c r="N203" i="2"/>
  <c r="P203" i="2"/>
  <c r="L204" i="2"/>
  <c r="L205" i="2"/>
  <c r="L206" i="2"/>
  <c r="L207" i="2"/>
  <c r="I209" i="2"/>
  <c r="K209" i="2" s="1"/>
  <c r="I211" i="2"/>
  <c r="K211" i="2" s="1"/>
  <c r="I212" i="2"/>
  <c r="K212" i="2" s="1"/>
  <c r="J213" i="2"/>
  <c r="N214" i="2"/>
  <c r="P214" i="2"/>
  <c r="L215" i="2"/>
  <c r="L216" i="2"/>
  <c r="L217" i="2"/>
  <c r="I219" i="2"/>
  <c r="K219" i="2" s="1"/>
  <c r="I220" i="2"/>
  <c r="I213" i="2" s="1"/>
  <c r="J221" i="2"/>
  <c r="N222" i="2"/>
  <c r="P222" i="2"/>
  <c r="L223" i="2"/>
  <c r="L224" i="2"/>
  <c r="L225" i="2"/>
  <c r="I228" i="2"/>
  <c r="K228" i="2" s="1"/>
  <c r="I229" i="2"/>
  <c r="I221" i="2" s="1"/>
  <c r="K221" i="2" s="1"/>
  <c r="I230" i="2"/>
  <c r="K230" i="2" s="1"/>
  <c r="N233" i="2"/>
  <c r="N234" i="2"/>
  <c r="N235" i="2"/>
  <c r="N236" i="2"/>
  <c r="J238" i="2"/>
  <c r="J240" i="2"/>
  <c r="J241" i="2"/>
  <c r="J242" i="2"/>
  <c r="J231" i="2" s="1"/>
  <c r="J185" i="2" s="1"/>
  <c r="N243" i="2"/>
  <c r="P243" i="2"/>
  <c r="L244" i="2"/>
  <c r="L245" i="2"/>
  <c r="L246" i="2"/>
  <c r="L247" i="2"/>
  <c r="I249" i="2"/>
  <c r="I242" i="2" s="1"/>
  <c r="I251" i="2"/>
  <c r="K251" i="2" s="1"/>
  <c r="I252" i="2"/>
  <c r="K252" i="2" s="1"/>
  <c r="J253" i="2"/>
  <c r="N254" i="2"/>
  <c r="N232" i="2" s="1"/>
  <c r="P254" i="2"/>
  <c r="L255" i="2"/>
  <c r="L256" i="2"/>
  <c r="L257" i="2"/>
  <c r="L258" i="2"/>
  <c r="I260" i="2"/>
  <c r="I253" i="2" s="1"/>
  <c r="K253" i="2" s="1"/>
  <c r="K262" i="2"/>
  <c r="K263" i="2"/>
  <c r="I265" i="2"/>
  <c r="K265" i="2" s="1"/>
  <c r="J265" i="2"/>
  <c r="L267" i="2"/>
  <c r="M267" i="2"/>
  <c r="P267" i="2" s="1"/>
  <c r="N267" i="2"/>
  <c r="O267" i="2"/>
  <c r="O270" i="2"/>
  <c r="P270" i="2"/>
  <c r="L271" i="2"/>
  <c r="L269" i="2" s="1"/>
  <c r="O269" i="2" s="1"/>
  <c r="M271" i="2"/>
  <c r="M269" i="2" s="1"/>
  <c r="P269" i="2" s="1"/>
  <c r="N271" i="2"/>
  <c r="N269" i="2" s="1"/>
  <c r="O273" i="2"/>
  <c r="P273" i="2"/>
  <c r="L274" i="2"/>
  <c r="L272" i="2" s="1"/>
  <c r="O272" i="2" s="1"/>
  <c r="M274" i="2"/>
  <c r="M272" i="2" s="1"/>
  <c r="P272" i="2" s="1"/>
  <c r="N274" i="2"/>
  <c r="N272" i="2" s="1"/>
  <c r="J280" i="2"/>
  <c r="J281" i="2"/>
  <c r="L283" i="2"/>
  <c r="M283" i="2"/>
  <c r="P283" i="2" s="1"/>
  <c r="N283" i="2"/>
  <c r="O283" i="2"/>
  <c r="O286" i="2"/>
  <c r="P286" i="2"/>
  <c r="L287" i="2"/>
  <c r="L285" i="2" s="1"/>
  <c r="O285" i="2" s="1"/>
  <c r="M287" i="2"/>
  <c r="M285" i="2" s="1"/>
  <c r="P285" i="2" s="1"/>
  <c r="N287" i="2"/>
  <c r="O289" i="2"/>
  <c r="P289" i="2"/>
  <c r="L290" i="2"/>
  <c r="L288" i="2" s="1"/>
  <c r="O288" i="2" s="1"/>
  <c r="M290" i="2"/>
  <c r="M288" i="2" s="1"/>
  <c r="P288" i="2" s="1"/>
  <c r="N290" i="2"/>
  <c r="N288" i="2" s="1"/>
  <c r="I292" i="2"/>
  <c r="I281" i="2" s="1"/>
  <c r="K281" i="2" s="1"/>
  <c r="I293" i="2"/>
  <c r="I280" i="2" s="1"/>
  <c r="K280" i="2" s="1"/>
  <c r="J293" i="2"/>
  <c r="I295" i="2"/>
  <c r="K295" i="2" s="1"/>
  <c r="I296" i="2"/>
  <c r="K296" i="2" s="1"/>
  <c r="J302" i="2"/>
  <c r="L304" i="2"/>
  <c r="O304" i="2" s="1"/>
  <c r="M304" i="2"/>
  <c r="P304" i="2" s="1"/>
  <c r="N304" i="2"/>
  <c r="O307" i="2"/>
  <c r="P307" i="2"/>
  <c r="L308" i="2"/>
  <c r="L306" i="2" s="1"/>
  <c r="O306" i="2" s="1"/>
  <c r="M308" i="2"/>
  <c r="M306" i="2" s="1"/>
  <c r="P306" i="2" s="1"/>
  <c r="N308" i="2"/>
  <c r="O310" i="2"/>
  <c r="P310" i="2"/>
  <c r="L311" i="2"/>
  <c r="L309" i="2" s="1"/>
  <c r="O309" i="2" s="1"/>
  <c r="M311" i="2"/>
  <c r="N311" i="2"/>
  <c r="N309" i="2" s="1"/>
  <c r="I314" i="2"/>
  <c r="I302" i="2" s="1"/>
  <c r="K302" i="2" s="1"/>
  <c r="I315" i="2"/>
  <c r="K315" i="2" s="1"/>
  <c r="I316" i="2"/>
  <c r="K316" i="2" s="1"/>
  <c r="I317" i="2"/>
  <c r="K317" i="2" s="1"/>
  <c r="J319" i="2"/>
  <c r="L321" i="2"/>
  <c r="M321" i="2"/>
  <c r="P321" i="2" s="1"/>
  <c r="N321" i="2"/>
  <c r="O324" i="2"/>
  <c r="P324" i="2"/>
  <c r="L325" i="2"/>
  <c r="L323" i="2" s="1"/>
  <c r="M325" i="2"/>
  <c r="M323" i="2" s="1"/>
  <c r="N325" i="2"/>
  <c r="O327" i="2"/>
  <c r="P327" i="2"/>
  <c r="L328" i="2"/>
  <c r="L326" i="2" s="1"/>
  <c r="O326" i="2" s="1"/>
  <c r="M328" i="2"/>
  <c r="M326" i="2" s="1"/>
  <c r="P326" i="2" s="1"/>
  <c r="N328" i="2"/>
  <c r="I330" i="2"/>
  <c r="K330" i="2" s="1"/>
  <c r="L334" i="2"/>
  <c r="O334" i="2" s="1"/>
  <c r="M334" i="2"/>
  <c r="N334" i="2"/>
  <c r="O337" i="2"/>
  <c r="P337" i="2"/>
  <c r="L338" i="2"/>
  <c r="M338" i="2"/>
  <c r="M336" i="2" s="1"/>
  <c r="N338" i="2"/>
  <c r="N336" i="2" s="1"/>
  <c r="O340" i="2"/>
  <c r="P340" i="2"/>
  <c r="L341" i="2"/>
  <c r="L339" i="2" s="1"/>
  <c r="O339" i="2" s="1"/>
  <c r="M341" i="2"/>
  <c r="P341" i="2" s="1"/>
  <c r="N341" i="2"/>
  <c r="N339" i="2" s="1"/>
  <c r="I344" i="2"/>
  <c r="J344" i="2"/>
  <c r="I346" i="2"/>
  <c r="J346" i="2"/>
  <c r="J347" i="2"/>
  <c r="J348" i="2"/>
  <c r="J349" i="2"/>
  <c r="D350" i="2"/>
  <c r="J352" i="2"/>
  <c r="J353" i="2"/>
  <c r="D354" i="2"/>
  <c r="L357" i="2"/>
  <c r="M357" i="2"/>
  <c r="P357" i="2" s="1"/>
  <c r="N357" i="2"/>
  <c r="O360" i="2"/>
  <c r="P360" i="2"/>
  <c r="L361" i="2"/>
  <c r="M361" i="2"/>
  <c r="M359" i="2" s="1"/>
  <c r="N361" i="2"/>
  <c r="N359" i="2" s="1"/>
  <c r="O363" i="2"/>
  <c r="P363" i="2"/>
  <c r="L364" i="2"/>
  <c r="O364" i="2" s="1"/>
  <c r="M364" i="2"/>
  <c r="M362" i="2" s="1"/>
  <c r="P362" i="2" s="1"/>
  <c r="N364" i="2"/>
  <c r="N362" i="2" s="1"/>
  <c r="J367" i="2"/>
  <c r="K367" i="2"/>
  <c r="I368" i="2"/>
  <c r="J368" i="2"/>
  <c r="I369" i="2"/>
  <c r="J369" i="2"/>
  <c r="J370" i="2"/>
  <c r="K370" i="2"/>
  <c r="I371" i="2"/>
  <c r="J371" i="2"/>
  <c r="J365" i="2" s="1"/>
  <c r="J372" i="2"/>
  <c r="K372" i="2"/>
  <c r="D373" i="2"/>
  <c r="I376" i="2"/>
  <c r="K376" i="2" s="1"/>
  <c r="J376" i="2"/>
  <c r="L378" i="2"/>
  <c r="M378" i="2"/>
  <c r="P378" i="2" s="1"/>
  <c r="N378" i="2"/>
  <c r="O378" i="2"/>
  <c r="O381" i="2"/>
  <c r="P381" i="2"/>
  <c r="L382" i="2"/>
  <c r="L380" i="2" s="1"/>
  <c r="O380" i="2" s="1"/>
  <c r="M382" i="2"/>
  <c r="N382" i="2"/>
  <c r="N380" i="2" s="1"/>
  <c r="O384" i="2"/>
  <c r="P384" i="2"/>
  <c r="L385" i="2"/>
  <c r="L383" i="2" s="1"/>
  <c r="O383" i="2" s="1"/>
  <c r="M385" i="2"/>
  <c r="M383" i="2" s="1"/>
  <c r="P383" i="2" s="1"/>
  <c r="N385" i="2"/>
  <c r="N383" i="2" s="1"/>
  <c r="K387" i="2"/>
  <c r="K388" i="2"/>
  <c r="A391" i="2"/>
  <c r="A391" i="1"/>
  <c r="K388" i="1"/>
  <c r="K387" i="1"/>
  <c r="N385" i="1"/>
  <c r="M385" i="1"/>
  <c r="P385" i="1" s="1"/>
  <c r="L385" i="1"/>
  <c r="O385" i="1" s="1"/>
  <c r="N384" i="1"/>
  <c r="M384" i="1"/>
  <c r="P384" i="1" s="1"/>
  <c r="L384" i="1"/>
  <c r="O384" i="1" s="1"/>
  <c r="N382" i="1"/>
  <c r="M382" i="1"/>
  <c r="L382" i="1"/>
  <c r="O382" i="1" s="1"/>
  <c r="N381" i="1"/>
  <c r="M381" i="1"/>
  <c r="L381" i="1"/>
  <c r="O381" i="1" s="1"/>
  <c r="J376" i="1"/>
  <c r="I376" i="1"/>
  <c r="K376" i="1" s="1"/>
  <c r="D373" i="1"/>
  <c r="K372" i="1"/>
  <c r="J372" i="1"/>
  <c r="J371" i="1"/>
  <c r="J365" i="1" s="1"/>
  <c r="I371" i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N363" i="1"/>
  <c r="M363" i="1"/>
  <c r="P363" i="1" s="1"/>
  <c r="L363" i="1"/>
  <c r="O363" i="1" s="1"/>
  <c r="N361" i="1"/>
  <c r="M361" i="1"/>
  <c r="L361" i="1"/>
  <c r="N360" i="1"/>
  <c r="M360" i="1"/>
  <c r="P360" i="1" s="1"/>
  <c r="L360" i="1"/>
  <c r="O360" i="1" s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P341" i="1" s="1"/>
  <c r="L341" i="1"/>
  <c r="N340" i="1"/>
  <c r="M340" i="1"/>
  <c r="P340" i="1" s="1"/>
  <c r="L340" i="1"/>
  <c r="O340" i="1" s="1"/>
  <c r="N338" i="1"/>
  <c r="M338" i="1"/>
  <c r="L338" i="1"/>
  <c r="N337" i="1"/>
  <c r="M337" i="1"/>
  <c r="L337" i="1"/>
  <c r="O337" i="1" s="1"/>
  <c r="J330" i="1"/>
  <c r="J319" i="1" s="1"/>
  <c r="I330" i="1"/>
  <c r="I319" i="1" s="1"/>
  <c r="N328" i="1"/>
  <c r="M328" i="1"/>
  <c r="P328" i="1" s="1"/>
  <c r="L328" i="1"/>
  <c r="O328" i="1" s="1"/>
  <c r="N327" i="1"/>
  <c r="M327" i="1"/>
  <c r="L327" i="1"/>
  <c r="O327" i="1" s="1"/>
  <c r="N325" i="1"/>
  <c r="N322" i="1" s="1"/>
  <c r="M325" i="1"/>
  <c r="M322" i="1" s="1"/>
  <c r="L325" i="1"/>
  <c r="N324" i="1"/>
  <c r="M324" i="1"/>
  <c r="P324" i="1" s="1"/>
  <c r="L324" i="1"/>
  <c r="J317" i="1"/>
  <c r="I317" i="1"/>
  <c r="J316" i="1"/>
  <c r="I316" i="1"/>
  <c r="J315" i="1"/>
  <c r="I315" i="1"/>
  <c r="J314" i="1"/>
  <c r="J302" i="1" s="1"/>
  <c r="I314" i="1"/>
  <c r="I302" i="1" s="1"/>
  <c r="J313" i="1"/>
  <c r="N311" i="1"/>
  <c r="M311" i="1"/>
  <c r="P311" i="1" s="1"/>
  <c r="L311" i="1"/>
  <c r="O311" i="1" s="1"/>
  <c r="N310" i="1"/>
  <c r="M310" i="1"/>
  <c r="P310" i="1" s="1"/>
  <c r="L310" i="1"/>
  <c r="N308" i="1"/>
  <c r="M308" i="1"/>
  <c r="L308" i="1"/>
  <c r="N307" i="1"/>
  <c r="M307" i="1"/>
  <c r="P307" i="1" s="1"/>
  <c r="L307" i="1"/>
  <c r="J296" i="1"/>
  <c r="I296" i="1"/>
  <c r="J295" i="1"/>
  <c r="I295" i="1"/>
  <c r="J293" i="1"/>
  <c r="J280" i="1" s="1"/>
  <c r="I293" i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P289" i="1" s="1"/>
  <c r="L289" i="1"/>
  <c r="O289" i="1" s="1"/>
  <c r="N287" i="1"/>
  <c r="N284" i="1" s="1"/>
  <c r="M287" i="1"/>
  <c r="L287" i="1"/>
  <c r="N286" i="1"/>
  <c r="M286" i="1"/>
  <c r="L286" i="1"/>
  <c r="N274" i="1"/>
  <c r="M274" i="1"/>
  <c r="P274" i="1" s="1"/>
  <c r="L274" i="1"/>
  <c r="O274" i="1" s="1"/>
  <c r="N273" i="1"/>
  <c r="M273" i="1"/>
  <c r="P273" i="1" s="1"/>
  <c r="L273" i="1"/>
  <c r="N271" i="1"/>
  <c r="M271" i="1"/>
  <c r="P271" i="1" s="1"/>
  <c r="L271" i="1"/>
  <c r="N270" i="1"/>
  <c r="M270" i="1"/>
  <c r="P270" i="1" s="1"/>
  <c r="L270" i="1"/>
  <c r="K265" i="1"/>
  <c r="K241" i="1"/>
  <c r="J241" i="1"/>
  <c r="K240" i="1"/>
  <c r="J240" i="1"/>
  <c r="J238" i="1"/>
  <c r="I238" i="1"/>
  <c r="N236" i="1"/>
  <c r="L236" i="1"/>
  <c r="N235" i="1"/>
  <c r="L235" i="1"/>
  <c r="N234" i="1"/>
  <c r="L234" i="1"/>
  <c r="N233" i="1"/>
  <c r="L233" i="1"/>
  <c r="J231" i="1"/>
  <c r="I231" i="1"/>
  <c r="K231" i="1" s="1"/>
  <c r="J230" i="1"/>
  <c r="J185" i="1" s="1"/>
  <c r="I230" i="1"/>
  <c r="I185" i="1" s="1"/>
  <c r="K185" i="1" s="1"/>
  <c r="J229" i="1"/>
  <c r="J221" i="1" s="1"/>
  <c r="I229" i="1"/>
  <c r="I221" i="1" s="1"/>
  <c r="J228" i="1"/>
  <c r="I228" i="1"/>
  <c r="N224" i="1"/>
  <c r="L224" i="1"/>
  <c r="N223" i="1"/>
  <c r="L223" i="1"/>
  <c r="J220" i="1"/>
  <c r="J213" i="1" s="1"/>
  <c r="I220" i="1"/>
  <c r="J219" i="1"/>
  <c r="I219" i="1"/>
  <c r="N217" i="1"/>
  <c r="L217" i="1"/>
  <c r="N216" i="1"/>
  <c r="L216" i="1"/>
  <c r="N215" i="1"/>
  <c r="L215" i="1"/>
  <c r="K212" i="1"/>
  <c r="J212" i="1"/>
  <c r="K211" i="1"/>
  <c r="J211" i="1"/>
  <c r="J209" i="1"/>
  <c r="I209" i="1"/>
  <c r="I202" i="1" s="1"/>
  <c r="N207" i="1"/>
  <c r="L207" i="1"/>
  <c r="N206" i="1"/>
  <c r="L206" i="1"/>
  <c r="N204" i="1"/>
  <c r="L204" i="1"/>
  <c r="J201" i="1"/>
  <c r="J200" i="1"/>
  <c r="J198" i="1"/>
  <c r="I198" i="1"/>
  <c r="I195" i="1" s="1"/>
  <c r="N196" i="1"/>
  <c r="L196" i="1"/>
  <c r="N194" i="1"/>
  <c r="M194" i="1"/>
  <c r="P194" i="1" s="1"/>
  <c r="L194" i="1"/>
  <c r="O194" i="1" s="1"/>
  <c r="N193" i="1"/>
  <c r="M193" i="1"/>
  <c r="L193" i="1"/>
  <c r="O193" i="1" s="1"/>
  <c r="N191" i="1"/>
  <c r="M191" i="1"/>
  <c r="L191" i="1"/>
  <c r="N190" i="1"/>
  <c r="M190" i="1"/>
  <c r="P190" i="1" s="1"/>
  <c r="L190" i="1"/>
  <c r="K184" i="1"/>
  <c r="J183" i="1"/>
  <c r="J172" i="1" s="1"/>
  <c r="I183" i="1"/>
  <c r="N181" i="1"/>
  <c r="M181" i="1"/>
  <c r="P181" i="1" s="1"/>
  <c r="L181" i="1"/>
  <c r="N180" i="1"/>
  <c r="M180" i="1"/>
  <c r="L180" i="1"/>
  <c r="N178" i="1"/>
  <c r="M178" i="1"/>
  <c r="L178" i="1"/>
  <c r="N177" i="1"/>
  <c r="M177" i="1"/>
  <c r="L177" i="1"/>
  <c r="J167" i="1"/>
  <c r="I167" i="1"/>
  <c r="I156" i="1" s="1"/>
  <c r="K156" i="1" s="1"/>
  <c r="N165" i="1"/>
  <c r="M165" i="1"/>
  <c r="P165" i="1" s="1"/>
  <c r="L165" i="1"/>
  <c r="O165" i="1" s="1"/>
  <c r="N164" i="1"/>
  <c r="M164" i="1"/>
  <c r="P164" i="1" s="1"/>
  <c r="L164" i="1"/>
  <c r="N162" i="1"/>
  <c r="M162" i="1"/>
  <c r="P162" i="1" s="1"/>
  <c r="L162" i="1"/>
  <c r="N161" i="1"/>
  <c r="M161" i="1"/>
  <c r="L161" i="1"/>
  <c r="O161" i="1" s="1"/>
  <c r="J156" i="1"/>
  <c r="J154" i="1"/>
  <c r="J136" i="1" s="1"/>
  <c r="I154" i="1"/>
  <c r="I136" i="1" s="1"/>
  <c r="J153" i="1"/>
  <c r="J138" i="1" s="1"/>
  <c r="I153" i="1"/>
  <c r="I138" i="1" s="1"/>
  <c r="J152" i="1"/>
  <c r="J137" i="1" s="1"/>
  <c r="I152" i="1"/>
  <c r="I137" i="1" s="1"/>
  <c r="J151" i="1"/>
  <c r="I151" i="1"/>
  <c r="J150" i="1"/>
  <c r="I150" i="1"/>
  <c r="J149" i="1"/>
  <c r="N147" i="1"/>
  <c r="M147" i="1"/>
  <c r="P147" i="1" s="1"/>
  <c r="L147" i="1"/>
  <c r="O147" i="1" s="1"/>
  <c r="N146" i="1"/>
  <c r="M146" i="1"/>
  <c r="P146" i="1" s="1"/>
  <c r="L146" i="1"/>
  <c r="N144" i="1"/>
  <c r="M144" i="1"/>
  <c r="L144" i="1"/>
  <c r="N143" i="1"/>
  <c r="N140" i="1" s="1"/>
  <c r="M143" i="1"/>
  <c r="L143" i="1"/>
  <c r="O143" i="1" s="1"/>
  <c r="N133" i="1"/>
  <c r="M133" i="1"/>
  <c r="P133" i="1" s="1"/>
  <c r="L133" i="1"/>
  <c r="O133" i="1" s="1"/>
  <c r="N132" i="1"/>
  <c r="M132" i="1"/>
  <c r="L132" i="1"/>
  <c r="N130" i="1"/>
  <c r="M130" i="1"/>
  <c r="L130" i="1"/>
  <c r="N129" i="1"/>
  <c r="M129" i="1"/>
  <c r="L129" i="1"/>
  <c r="O129" i="1" s="1"/>
  <c r="J117" i="1"/>
  <c r="I117" i="1"/>
  <c r="J109" i="1"/>
  <c r="I109" i="1"/>
  <c r="I93" i="1" s="1"/>
  <c r="J108" i="1"/>
  <c r="J92" i="1" s="1"/>
  <c r="I108" i="1"/>
  <c r="N102" i="1"/>
  <c r="M102" i="1"/>
  <c r="P102" i="1" s="1"/>
  <c r="L102" i="1"/>
  <c r="N101" i="1"/>
  <c r="M101" i="1"/>
  <c r="P101" i="1" s="1"/>
  <c r="L101" i="1"/>
  <c r="O101" i="1" s="1"/>
  <c r="N99" i="1"/>
  <c r="M99" i="1"/>
  <c r="L99" i="1"/>
  <c r="N98" i="1"/>
  <c r="M98" i="1"/>
  <c r="P98" i="1" s="1"/>
  <c r="L98" i="1"/>
  <c r="O98" i="1" s="1"/>
  <c r="J90" i="1"/>
  <c r="I90" i="1"/>
  <c r="J89" i="1"/>
  <c r="I89" i="1"/>
  <c r="J88" i="1"/>
  <c r="I88" i="1"/>
  <c r="J87" i="1"/>
  <c r="I87" i="1"/>
  <c r="K87" i="1" s="1"/>
  <c r="J86" i="1"/>
  <c r="I86" i="1"/>
  <c r="K86" i="1" s="1"/>
  <c r="J85" i="1"/>
  <c r="I85" i="1"/>
  <c r="J84" i="1"/>
  <c r="I84" i="1"/>
  <c r="K84" i="1" s="1"/>
  <c r="N80" i="1"/>
  <c r="M80" i="1"/>
  <c r="L80" i="1"/>
  <c r="N79" i="1"/>
  <c r="M79" i="1"/>
  <c r="P79" i="1" s="1"/>
  <c r="L79" i="1"/>
  <c r="N77" i="1"/>
  <c r="N74" i="1" s="1"/>
  <c r="M77" i="1"/>
  <c r="L77" i="1"/>
  <c r="N76" i="1"/>
  <c r="M76" i="1"/>
  <c r="P76" i="1" s="1"/>
  <c r="L76" i="1"/>
  <c r="N67" i="1"/>
  <c r="M67" i="1"/>
  <c r="P67" i="1" s="1"/>
  <c r="L67" i="1"/>
  <c r="O67" i="1" s="1"/>
  <c r="N66" i="1"/>
  <c r="M66" i="1"/>
  <c r="P66" i="1" s="1"/>
  <c r="L66" i="1"/>
  <c r="O66" i="1" s="1"/>
  <c r="N64" i="1"/>
  <c r="M64" i="1"/>
  <c r="L64" i="1"/>
  <c r="N63" i="1"/>
  <c r="M63" i="1"/>
  <c r="P63" i="1" s="1"/>
  <c r="L63" i="1"/>
  <c r="O63" i="1" s="1"/>
  <c r="N55" i="1"/>
  <c r="N29" i="1" s="1"/>
  <c r="M55" i="1"/>
  <c r="P55" i="1" s="1"/>
  <c r="L55" i="1"/>
  <c r="O55" i="1" s="1"/>
  <c r="N54" i="1"/>
  <c r="N28" i="1" s="1"/>
  <c r="M54" i="1"/>
  <c r="P54" i="1" s="1"/>
  <c r="L54" i="1"/>
  <c r="O54" i="1" s="1"/>
  <c r="N52" i="1"/>
  <c r="M52" i="1"/>
  <c r="P52" i="1" s="1"/>
  <c r="L52" i="1"/>
  <c r="O52" i="1" s="1"/>
  <c r="N51" i="1"/>
  <c r="M51" i="1"/>
  <c r="P51" i="1" s="1"/>
  <c r="L51" i="1"/>
  <c r="N49" i="1"/>
  <c r="M49" i="1"/>
  <c r="L49" i="1"/>
  <c r="N48" i="1"/>
  <c r="M48" i="1"/>
  <c r="P48" i="1" s="1"/>
  <c r="L48" i="1"/>
  <c r="O48" i="1" s="1"/>
  <c r="O181" i="22" l="1"/>
  <c r="L175" i="22"/>
  <c r="L173" i="22" s="1"/>
  <c r="P361" i="21"/>
  <c r="O361" i="21"/>
  <c r="O77" i="22"/>
  <c r="O290" i="22"/>
  <c r="N358" i="1"/>
  <c r="O287" i="22"/>
  <c r="P308" i="22"/>
  <c r="L379" i="22"/>
  <c r="O379" i="22" s="1"/>
  <c r="K344" i="22"/>
  <c r="I319" i="22"/>
  <c r="K319" i="22" s="1"/>
  <c r="O147" i="22"/>
  <c r="O133" i="22"/>
  <c r="K108" i="22"/>
  <c r="L383" i="22"/>
  <c r="O383" i="22" s="1"/>
  <c r="L236" i="22"/>
  <c r="L78" i="22"/>
  <c r="O78" i="22" s="1"/>
  <c r="P382" i="22"/>
  <c r="L380" i="22"/>
  <c r="O380" i="22" s="1"/>
  <c r="I202" i="22"/>
  <c r="K202" i="22" s="1"/>
  <c r="J343" i="22"/>
  <c r="M188" i="22"/>
  <c r="M186" i="22" s="1"/>
  <c r="N74" i="22"/>
  <c r="N72" i="22" s="1"/>
  <c r="O338" i="22"/>
  <c r="O165" i="22"/>
  <c r="M74" i="22"/>
  <c r="P74" i="22" s="1"/>
  <c r="O64" i="22"/>
  <c r="L50" i="22"/>
  <c r="O50" i="22" s="1"/>
  <c r="J351" i="22"/>
  <c r="K346" i="22"/>
  <c r="M284" i="22"/>
  <c r="P284" i="22" s="1"/>
  <c r="L234" i="22"/>
  <c r="N159" i="22"/>
  <c r="N157" i="22" s="1"/>
  <c r="P102" i="22"/>
  <c r="N322" i="22"/>
  <c r="N320" i="22" s="1"/>
  <c r="L235" i="22"/>
  <c r="L203" i="22"/>
  <c r="O203" i="22" s="1"/>
  <c r="I195" i="22"/>
  <c r="K195" i="22" s="1"/>
  <c r="O102" i="22"/>
  <c r="M268" i="22"/>
  <c r="P268" i="22" s="1"/>
  <c r="M339" i="22"/>
  <c r="P339" i="22" s="1"/>
  <c r="P194" i="22"/>
  <c r="L159" i="22"/>
  <c r="O159" i="22" s="1"/>
  <c r="M96" i="22"/>
  <c r="P96" i="22" s="1"/>
  <c r="P67" i="22"/>
  <c r="L46" i="22"/>
  <c r="L44" i="22" s="1"/>
  <c r="M358" i="22"/>
  <c r="M356" i="22" s="1"/>
  <c r="L268" i="22"/>
  <c r="O268" i="22" s="1"/>
  <c r="L222" i="22"/>
  <c r="O222" i="22" s="1"/>
  <c r="I82" i="22"/>
  <c r="I70" i="22" s="1"/>
  <c r="K70" i="22" s="1"/>
  <c r="O361" i="22"/>
  <c r="N305" i="22"/>
  <c r="N303" i="22" s="1"/>
  <c r="K292" i="22"/>
  <c r="L233" i="22"/>
  <c r="K229" i="22"/>
  <c r="L192" i="22"/>
  <c r="O192" i="22" s="1"/>
  <c r="M189" i="22"/>
  <c r="P189" i="22" s="1"/>
  <c r="N175" i="22"/>
  <c r="N127" i="22"/>
  <c r="N125" i="22" s="1"/>
  <c r="K109" i="22"/>
  <c r="L74" i="22"/>
  <c r="O74" i="22" s="1"/>
  <c r="N127" i="21"/>
  <c r="N125" i="21" s="1"/>
  <c r="K109" i="21"/>
  <c r="O328" i="22"/>
  <c r="L305" i="22"/>
  <c r="O305" i="22" s="1"/>
  <c r="M285" i="22"/>
  <c r="P285" i="22" s="1"/>
  <c r="I238" i="22"/>
  <c r="K238" i="22" s="1"/>
  <c r="K221" i="22"/>
  <c r="O189" i="22"/>
  <c r="O178" i="22"/>
  <c r="O162" i="22"/>
  <c r="P99" i="22"/>
  <c r="I83" i="22"/>
  <c r="K83" i="22" s="1"/>
  <c r="N141" i="22"/>
  <c r="N139" i="22" s="1"/>
  <c r="P52" i="21"/>
  <c r="P334" i="22"/>
  <c r="P290" i="22"/>
  <c r="N284" i="22"/>
  <c r="N282" i="22" s="1"/>
  <c r="O274" i="22"/>
  <c r="L188" i="22"/>
  <c r="L186" i="22" s="1"/>
  <c r="L176" i="22"/>
  <c r="O176" i="22" s="1"/>
  <c r="L160" i="22"/>
  <c r="O160" i="22" s="1"/>
  <c r="L127" i="22"/>
  <c r="O127" i="22" s="1"/>
  <c r="O99" i="22"/>
  <c r="O49" i="22"/>
  <c r="K108" i="21"/>
  <c r="P385" i="22"/>
  <c r="M362" i="22"/>
  <c r="P362" i="22" s="1"/>
  <c r="M359" i="22"/>
  <c r="P359" i="22" s="1"/>
  <c r="M335" i="22"/>
  <c r="M333" i="22" s="1"/>
  <c r="M322" i="22"/>
  <c r="P322" i="22" s="1"/>
  <c r="K314" i="22"/>
  <c r="K293" i="22"/>
  <c r="N268" i="22"/>
  <c r="N266" i="22" s="1"/>
  <c r="N142" i="22"/>
  <c r="M97" i="22"/>
  <c r="P97" i="22" s="1"/>
  <c r="M61" i="22"/>
  <c r="M59" i="22" s="1"/>
  <c r="L47" i="22"/>
  <c r="O47" i="22" s="1"/>
  <c r="N19" i="22"/>
  <c r="M266" i="22"/>
  <c r="P266" i="22" s="1"/>
  <c r="P336" i="22"/>
  <c r="L358" i="22"/>
  <c r="J332" i="22"/>
  <c r="L309" i="22"/>
  <c r="O309" i="22" s="1"/>
  <c r="M128" i="22"/>
  <c r="P128" i="22" s="1"/>
  <c r="M47" i="22"/>
  <c r="P47" i="22" s="1"/>
  <c r="P49" i="22"/>
  <c r="I365" i="22"/>
  <c r="K365" i="22" s="1"/>
  <c r="L362" i="22"/>
  <c r="O362" i="22" s="1"/>
  <c r="L359" i="22"/>
  <c r="O359" i="22" s="1"/>
  <c r="L339" i="22"/>
  <c r="O339" i="22" s="1"/>
  <c r="L336" i="22"/>
  <c r="O336" i="22" s="1"/>
  <c r="I332" i="22"/>
  <c r="N323" i="22"/>
  <c r="M272" i="22"/>
  <c r="P272" i="22" s="1"/>
  <c r="L269" i="22"/>
  <c r="O269" i="22" s="1"/>
  <c r="J231" i="22"/>
  <c r="J185" i="22" s="1"/>
  <c r="M160" i="22"/>
  <c r="P160" i="22" s="1"/>
  <c r="P162" i="22"/>
  <c r="N160" i="22"/>
  <c r="K152" i="22"/>
  <c r="I137" i="22"/>
  <c r="K137" i="22" s="1"/>
  <c r="M145" i="22"/>
  <c r="P145" i="22" s="1"/>
  <c r="O140" i="22"/>
  <c r="I138" i="22"/>
  <c r="K138" i="22" s="1"/>
  <c r="L128" i="22"/>
  <c r="O128" i="22" s="1"/>
  <c r="N61" i="22"/>
  <c r="N26" i="22"/>
  <c r="N24" i="22" s="1"/>
  <c r="L233" i="20"/>
  <c r="P290" i="21"/>
  <c r="L179" i="21"/>
  <c r="O179" i="21" s="1"/>
  <c r="O382" i="22"/>
  <c r="P361" i="22"/>
  <c r="P338" i="22"/>
  <c r="M326" i="22"/>
  <c r="P326" i="22" s="1"/>
  <c r="L322" i="22"/>
  <c r="L323" i="22"/>
  <c r="O323" i="22" s="1"/>
  <c r="P311" i="22"/>
  <c r="O308" i="22"/>
  <c r="M305" i="22"/>
  <c r="L284" i="22"/>
  <c r="O284" i="22" s="1"/>
  <c r="I253" i="22"/>
  <c r="K253" i="22" s="1"/>
  <c r="K260" i="22"/>
  <c r="L243" i="22"/>
  <c r="I242" i="22"/>
  <c r="O191" i="22"/>
  <c r="M179" i="22"/>
  <c r="P179" i="22" s="1"/>
  <c r="P181" i="22"/>
  <c r="N179" i="22"/>
  <c r="I172" i="22"/>
  <c r="K172" i="22" s="1"/>
  <c r="M141" i="22"/>
  <c r="M131" i="22"/>
  <c r="P131" i="22" s="1"/>
  <c r="O126" i="22"/>
  <c r="M75" i="22"/>
  <c r="P75" i="22" s="1"/>
  <c r="P77" i="22"/>
  <c r="N75" i="22"/>
  <c r="L65" i="22"/>
  <c r="O65" i="22" s="1"/>
  <c r="L61" i="22"/>
  <c r="M50" i="22"/>
  <c r="P50" i="22" s="1"/>
  <c r="P52" i="22"/>
  <c r="N50" i="22"/>
  <c r="M19" i="22"/>
  <c r="P22" i="22"/>
  <c r="L335" i="22"/>
  <c r="L65" i="21"/>
  <c r="O65" i="21" s="1"/>
  <c r="N379" i="22"/>
  <c r="N377" i="22" s="1"/>
  <c r="O311" i="22"/>
  <c r="O283" i="22"/>
  <c r="P271" i="22"/>
  <c r="N188" i="22"/>
  <c r="N186" i="22" s="1"/>
  <c r="M163" i="22"/>
  <c r="P163" i="22" s="1"/>
  <c r="P165" i="22"/>
  <c r="I156" i="22"/>
  <c r="K156" i="22" s="1"/>
  <c r="O144" i="22"/>
  <c r="L141" i="22"/>
  <c r="O141" i="22" s="1"/>
  <c r="M127" i="22"/>
  <c r="P64" i="22"/>
  <c r="P60" i="22"/>
  <c r="L26" i="22"/>
  <c r="O26" i="22" s="1"/>
  <c r="N46" i="22"/>
  <c r="N44" i="22" s="1"/>
  <c r="N23" i="22"/>
  <c r="M269" i="22"/>
  <c r="P269" i="22" s="1"/>
  <c r="M176" i="22"/>
  <c r="P176" i="22" s="1"/>
  <c r="P178" i="22"/>
  <c r="P325" i="21"/>
  <c r="O147" i="21"/>
  <c r="P133" i="21"/>
  <c r="M379" i="22"/>
  <c r="P379" i="22" s="1"/>
  <c r="N358" i="22"/>
  <c r="N335" i="22"/>
  <c r="P325" i="22"/>
  <c r="O271" i="22"/>
  <c r="L254" i="22"/>
  <c r="O254" i="22" s="1"/>
  <c r="L214" i="22"/>
  <c r="O214" i="22" s="1"/>
  <c r="M175" i="22"/>
  <c r="O130" i="22"/>
  <c r="N96" i="22"/>
  <c r="N94" i="22" s="1"/>
  <c r="M78" i="22"/>
  <c r="P78" i="22" s="1"/>
  <c r="P80" i="22"/>
  <c r="P62" i="22"/>
  <c r="M46" i="22"/>
  <c r="M44" i="22" s="1"/>
  <c r="M23" i="22"/>
  <c r="M21" i="22" s="1"/>
  <c r="L19" i="22"/>
  <c r="O191" i="21"/>
  <c r="I213" i="22"/>
  <c r="K213" i="22" s="1"/>
  <c r="P191" i="22"/>
  <c r="M159" i="22"/>
  <c r="M142" i="22"/>
  <c r="P142" i="22" s="1"/>
  <c r="I136" i="22"/>
  <c r="K136" i="22" s="1"/>
  <c r="L96" i="22"/>
  <c r="L62" i="22"/>
  <c r="O62" i="22" s="1"/>
  <c r="M26" i="22"/>
  <c r="L23" i="22"/>
  <c r="P338" i="20"/>
  <c r="O274" i="21"/>
  <c r="O271" i="21"/>
  <c r="O64" i="21"/>
  <c r="L284" i="21"/>
  <c r="L282" i="21" s="1"/>
  <c r="L234" i="21"/>
  <c r="K369" i="21"/>
  <c r="O328" i="21"/>
  <c r="O194" i="21"/>
  <c r="O47" i="21"/>
  <c r="L214" i="21"/>
  <c r="O214" i="21" s="1"/>
  <c r="I172" i="21"/>
  <c r="K172" i="21" s="1"/>
  <c r="P67" i="21"/>
  <c r="P338" i="21"/>
  <c r="L305" i="21"/>
  <c r="L303" i="21" s="1"/>
  <c r="M284" i="21"/>
  <c r="M282" i="21" s="1"/>
  <c r="I253" i="21"/>
  <c r="K253" i="21" s="1"/>
  <c r="K220" i="21"/>
  <c r="P162" i="21"/>
  <c r="K154" i="21"/>
  <c r="N268" i="21"/>
  <c r="N266" i="21" s="1"/>
  <c r="N159" i="21"/>
  <c r="N157" i="21" s="1"/>
  <c r="L50" i="21"/>
  <c r="O50" i="21" s="1"/>
  <c r="K368" i="21"/>
  <c r="J351" i="21"/>
  <c r="L175" i="21"/>
  <c r="L173" i="21" s="1"/>
  <c r="L159" i="21"/>
  <c r="L157" i="21" s="1"/>
  <c r="M141" i="21"/>
  <c r="P141" i="21" s="1"/>
  <c r="M127" i="21"/>
  <c r="P127" i="21" s="1"/>
  <c r="O99" i="20"/>
  <c r="O311" i="21"/>
  <c r="N305" i="21"/>
  <c r="N303" i="21" s="1"/>
  <c r="L141" i="21"/>
  <c r="O141" i="21" s="1"/>
  <c r="N284" i="21"/>
  <c r="N282" i="21" s="1"/>
  <c r="L131" i="21"/>
  <c r="O131" i="21" s="1"/>
  <c r="I82" i="21"/>
  <c r="N175" i="20"/>
  <c r="N173" i="20" s="1"/>
  <c r="K344" i="21"/>
  <c r="P328" i="21"/>
  <c r="N306" i="21"/>
  <c r="P306" i="21" s="1"/>
  <c r="L254" i="21"/>
  <c r="O254" i="21" s="1"/>
  <c r="L188" i="21"/>
  <c r="L186" i="21" s="1"/>
  <c r="P178" i="21"/>
  <c r="P165" i="21"/>
  <c r="P147" i="21"/>
  <c r="O144" i="21"/>
  <c r="P130" i="21"/>
  <c r="P126" i="21"/>
  <c r="M100" i="21"/>
  <c r="P100" i="21" s="1"/>
  <c r="P80" i="21"/>
  <c r="P64" i="21"/>
  <c r="P49" i="21"/>
  <c r="O22" i="21"/>
  <c r="N358" i="21"/>
  <c r="N356" i="21" s="1"/>
  <c r="J343" i="21"/>
  <c r="L306" i="21"/>
  <c r="N269" i="21"/>
  <c r="N175" i="21"/>
  <c r="N173" i="21" s="1"/>
  <c r="L176" i="21"/>
  <c r="O176" i="21" s="1"/>
  <c r="L163" i="21"/>
  <c r="O163" i="21" s="1"/>
  <c r="N96" i="21"/>
  <c r="N94" i="21" s="1"/>
  <c r="L78" i="21"/>
  <c r="O78" i="21" s="1"/>
  <c r="N46" i="21"/>
  <c r="N44" i="21" s="1"/>
  <c r="L26" i="21"/>
  <c r="O26" i="21" s="1"/>
  <c r="N19" i="21"/>
  <c r="L50" i="20"/>
  <c r="O50" i="20" s="1"/>
  <c r="K371" i="21"/>
  <c r="N335" i="21"/>
  <c r="N333" i="21" s="1"/>
  <c r="O325" i="21"/>
  <c r="K292" i="21"/>
  <c r="M142" i="21"/>
  <c r="P142" i="21" s="1"/>
  <c r="M96" i="21"/>
  <c r="P96" i="21" s="1"/>
  <c r="N74" i="21"/>
  <c r="N72" i="21" s="1"/>
  <c r="P47" i="21"/>
  <c r="L236" i="21"/>
  <c r="P191" i="21"/>
  <c r="L160" i="21"/>
  <c r="O160" i="21" s="1"/>
  <c r="L142" i="21"/>
  <c r="O142" i="21" s="1"/>
  <c r="M128" i="21"/>
  <c r="P128" i="21" s="1"/>
  <c r="L96" i="21"/>
  <c r="O96" i="21" s="1"/>
  <c r="L61" i="21"/>
  <c r="L59" i="21" s="1"/>
  <c r="L46" i="21"/>
  <c r="N379" i="21"/>
  <c r="N377" i="21" s="1"/>
  <c r="K346" i="21"/>
  <c r="O338" i="21"/>
  <c r="K330" i="21"/>
  <c r="P287" i="21"/>
  <c r="L268" i="21"/>
  <c r="O268" i="21" s="1"/>
  <c r="J231" i="21"/>
  <c r="J185" i="21" s="1"/>
  <c r="L235" i="21"/>
  <c r="K229" i="21"/>
  <c r="K209" i="21"/>
  <c r="I168" i="21"/>
  <c r="K168" i="21" s="1"/>
  <c r="L127" i="21"/>
  <c r="L128" i="21"/>
  <c r="O128" i="21" s="1"/>
  <c r="L74" i="21"/>
  <c r="O74" i="21" s="1"/>
  <c r="K242" i="21"/>
  <c r="K365" i="21"/>
  <c r="N305" i="1"/>
  <c r="K344" i="20"/>
  <c r="I92" i="20"/>
  <c r="K92" i="20" s="1"/>
  <c r="M383" i="21"/>
  <c r="P383" i="21" s="1"/>
  <c r="M380" i="21"/>
  <c r="P380" i="21" s="1"/>
  <c r="L379" i="21"/>
  <c r="O379" i="21" s="1"/>
  <c r="N359" i="21"/>
  <c r="M358" i="21"/>
  <c r="N336" i="21"/>
  <c r="M335" i="21"/>
  <c r="N285" i="21"/>
  <c r="P285" i="21" s="1"/>
  <c r="K230" i="21"/>
  <c r="M188" i="21"/>
  <c r="M186" i="21" s="1"/>
  <c r="N62" i="21"/>
  <c r="O62" i="21" s="1"/>
  <c r="M379" i="21"/>
  <c r="P379" i="21" s="1"/>
  <c r="N188" i="21"/>
  <c r="N186" i="21" s="1"/>
  <c r="L235" i="20"/>
  <c r="L383" i="21"/>
  <c r="O383" i="21" s="1"/>
  <c r="L380" i="21"/>
  <c r="O380" i="21" s="1"/>
  <c r="M362" i="21"/>
  <c r="P362" i="21" s="1"/>
  <c r="M359" i="21"/>
  <c r="L358" i="21"/>
  <c r="M339" i="21"/>
  <c r="P339" i="21" s="1"/>
  <c r="M336" i="21"/>
  <c r="L335" i="21"/>
  <c r="J332" i="21"/>
  <c r="K332" i="21" s="1"/>
  <c r="N322" i="21"/>
  <c r="N320" i="21" s="1"/>
  <c r="L243" i="21"/>
  <c r="I238" i="21"/>
  <c r="K238" i="21" s="1"/>
  <c r="L222" i="21"/>
  <c r="O222" i="21" s="1"/>
  <c r="L203" i="21"/>
  <c r="O203" i="21" s="1"/>
  <c r="I138" i="21"/>
  <c r="K138" i="21" s="1"/>
  <c r="I83" i="21"/>
  <c r="K85" i="21"/>
  <c r="M74" i="21"/>
  <c r="P74" i="21" s="1"/>
  <c r="P19" i="21"/>
  <c r="P60" i="21"/>
  <c r="I302" i="20"/>
  <c r="K302" i="20" s="1"/>
  <c r="M159" i="20"/>
  <c r="P159" i="20" s="1"/>
  <c r="O378" i="21"/>
  <c r="L362" i="21"/>
  <c r="O362" i="21" s="1"/>
  <c r="L359" i="21"/>
  <c r="P357" i="21"/>
  <c r="L339" i="21"/>
  <c r="O339" i="21" s="1"/>
  <c r="L336" i="21"/>
  <c r="P334" i="21"/>
  <c r="M322" i="21"/>
  <c r="P322" i="21" s="1"/>
  <c r="P308" i="21"/>
  <c r="O287" i="21"/>
  <c r="L285" i="21"/>
  <c r="O283" i="21"/>
  <c r="I280" i="21"/>
  <c r="K280" i="21" s="1"/>
  <c r="P271" i="21"/>
  <c r="N189" i="21"/>
  <c r="O189" i="21" s="1"/>
  <c r="P176" i="21"/>
  <c r="L100" i="21"/>
  <c r="O100" i="21" s="1"/>
  <c r="N61" i="21"/>
  <c r="N59" i="21" s="1"/>
  <c r="O25" i="21"/>
  <c r="L326" i="20"/>
  <c r="O326" i="20" s="1"/>
  <c r="O311" i="20"/>
  <c r="O308" i="20"/>
  <c r="M175" i="20"/>
  <c r="M173" i="20" s="1"/>
  <c r="L322" i="21"/>
  <c r="P311" i="21"/>
  <c r="O308" i="21"/>
  <c r="P274" i="21"/>
  <c r="L233" i="21"/>
  <c r="P194" i="21"/>
  <c r="P187" i="21"/>
  <c r="M175" i="21"/>
  <c r="N141" i="21"/>
  <c r="N139" i="21" s="1"/>
  <c r="I137" i="21"/>
  <c r="K137" i="21" s="1"/>
  <c r="O73" i="21"/>
  <c r="M61" i="21"/>
  <c r="N26" i="21"/>
  <c r="N24" i="21" s="1"/>
  <c r="O19" i="21"/>
  <c r="L23" i="21"/>
  <c r="L21" i="21" s="1"/>
  <c r="O99" i="21"/>
  <c r="P321" i="21"/>
  <c r="M305" i="21"/>
  <c r="I302" i="21"/>
  <c r="K302" i="21" s="1"/>
  <c r="L288" i="21"/>
  <c r="O288" i="21" s="1"/>
  <c r="M268" i="21"/>
  <c r="K249" i="21"/>
  <c r="P181" i="21"/>
  <c r="K167" i="21"/>
  <c r="I169" i="21"/>
  <c r="K169" i="21" s="1"/>
  <c r="M159" i="21"/>
  <c r="P159" i="21" s="1"/>
  <c r="P140" i="21"/>
  <c r="L97" i="21"/>
  <c r="O97" i="21" s="1"/>
  <c r="P77" i="21"/>
  <c r="M26" i="21"/>
  <c r="K198" i="21"/>
  <c r="O178" i="21"/>
  <c r="O162" i="21"/>
  <c r="P99" i="21"/>
  <c r="O77" i="21"/>
  <c r="O49" i="21"/>
  <c r="P25" i="21"/>
  <c r="N23" i="21"/>
  <c r="M23" i="21"/>
  <c r="M46" i="21"/>
  <c r="P341" i="20"/>
  <c r="O338" i="20"/>
  <c r="L305" i="20"/>
  <c r="O305" i="20" s="1"/>
  <c r="O181" i="20"/>
  <c r="O165" i="20"/>
  <c r="N159" i="20"/>
  <c r="N157" i="20" s="1"/>
  <c r="P102" i="20"/>
  <c r="O385" i="20"/>
  <c r="K198" i="20"/>
  <c r="L175" i="20"/>
  <c r="L173" i="20" s="1"/>
  <c r="M284" i="20"/>
  <c r="P284" i="20" s="1"/>
  <c r="O189" i="20"/>
  <c r="L127" i="20"/>
  <c r="O127" i="20" s="1"/>
  <c r="M358" i="20"/>
  <c r="M74" i="20"/>
  <c r="P74" i="20" s="1"/>
  <c r="L214" i="20"/>
  <c r="O214" i="20" s="1"/>
  <c r="M96" i="20"/>
  <c r="P96" i="20" s="1"/>
  <c r="P67" i="20"/>
  <c r="L46" i="20"/>
  <c r="L44" i="20" s="1"/>
  <c r="L379" i="20"/>
  <c r="O379" i="20" s="1"/>
  <c r="K371" i="20"/>
  <c r="O361" i="20"/>
  <c r="M359" i="20"/>
  <c r="J351" i="20"/>
  <c r="K346" i="20"/>
  <c r="L335" i="20"/>
  <c r="L333" i="20" s="1"/>
  <c r="L176" i="20"/>
  <c r="O176" i="20" s="1"/>
  <c r="K153" i="20"/>
  <c r="O147" i="20"/>
  <c r="O77" i="20"/>
  <c r="K292" i="20"/>
  <c r="L234" i="20"/>
  <c r="K368" i="17"/>
  <c r="L362" i="20"/>
  <c r="O362" i="20" s="1"/>
  <c r="I332" i="20"/>
  <c r="N179" i="20"/>
  <c r="J332" i="20"/>
  <c r="N305" i="20"/>
  <c r="N303" i="20" s="1"/>
  <c r="L203" i="20"/>
  <c r="O203" i="20" s="1"/>
  <c r="M179" i="20"/>
  <c r="P179" i="20" s="1"/>
  <c r="N141" i="20"/>
  <c r="N139" i="20" s="1"/>
  <c r="M97" i="20"/>
  <c r="P97" i="20" s="1"/>
  <c r="N74" i="20"/>
  <c r="N72" i="20" s="1"/>
  <c r="N379" i="20"/>
  <c r="N377" i="20" s="1"/>
  <c r="L380" i="20"/>
  <c r="O380" i="20" s="1"/>
  <c r="P364" i="20"/>
  <c r="P361" i="20"/>
  <c r="O341" i="20"/>
  <c r="M335" i="20"/>
  <c r="M333" i="20" s="1"/>
  <c r="P328" i="20"/>
  <c r="M305" i="20"/>
  <c r="P305" i="20" s="1"/>
  <c r="M285" i="20"/>
  <c r="P285" i="20" s="1"/>
  <c r="P274" i="20"/>
  <c r="P194" i="20"/>
  <c r="O178" i="20"/>
  <c r="M176" i="20"/>
  <c r="P176" i="20" s="1"/>
  <c r="I136" i="20"/>
  <c r="K136" i="20" s="1"/>
  <c r="L74" i="20"/>
  <c r="O74" i="20" s="1"/>
  <c r="P64" i="20"/>
  <c r="P271" i="20"/>
  <c r="I238" i="20"/>
  <c r="K238" i="20" s="1"/>
  <c r="L222" i="20"/>
  <c r="O222" i="20" s="1"/>
  <c r="P191" i="20"/>
  <c r="P189" i="20"/>
  <c r="M163" i="20"/>
  <c r="P163" i="20" s="1"/>
  <c r="L141" i="20"/>
  <c r="O141" i="20" s="1"/>
  <c r="O133" i="20"/>
  <c r="L96" i="20"/>
  <c r="O96" i="20" s="1"/>
  <c r="O62" i="20"/>
  <c r="L47" i="20"/>
  <c r="L358" i="20"/>
  <c r="L356" i="20" s="1"/>
  <c r="P325" i="20"/>
  <c r="P311" i="20"/>
  <c r="O271" i="20"/>
  <c r="I156" i="20"/>
  <c r="K156" i="20" s="1"/>
  <c r="O130" i="20"/>
  <c r="P99" i="20"/>
  <c r="O80" i="20"/>
  <c r="M61" i="20"/>
  <c r="M59" i="20" s="1"/>
  <c r="O49" i="20"/>
  <c r="L19" i="20"/>
  <c r="J343" i="20"/>
  <c r="N322" i="20"/>
  <c r="N320" i="20" s="1"/>
  <c r="N268" i="20"/>
  <c r="N266" i="20" s="1"/>
  <c r="M268" i="20"/>
  <c r="M266" i="20" s="1"/>
  <c r="P266" i="20" s="1"/>
  <c r="L236" i="20"/>
  <c r="I202" i="20"/>
  <c r="K202" i="20" s="1"/>
  <c r="M188" i="20"/>
  <c r="M186" i="20" s="1"/>
  <c r="N127" i="20"/>
  <c r="N125" i="20" s="1"/>
  <c r="K109" i="20"/>
  <c r="O64" i="20"/>
  <c r="M356" i="20"/>
  <c r="O19" i="20"/>
  <c r="M26" i="20"/>
  <c r="N380" i="20"/>
  <c r="M379" i="20"/>
  <c r="P379" i="20" s="1"/>
  <c r="N358" i="20"/>
  <c r="N335" i="20"/>
  <c r="M306" i="20"/>
  <c r="P306" i="20" s="1"/>
  <c r="M288" i="20"/>
  <c r="P288" i="20" s="1"/>
  <c r="L254" i="20"/>
  <c r="O254" i="20" s="1"/>
  <c r="K195" i="20"/>
  <c r="I172" i="20"/>
  <c r="K172" i="20" s="1"/>
  <c r="L142" i="20"/>
  <c r="O142" i="20" s="1"/>
  <c r="M128" i="20"/>
  <c r="P128" i="20" s="1"/>
  <c r="M47" i="20"/>
  <c r="P49" i="20"/>
  <c r="N47" i="20"/>
  <c r="I280" i="20"/>
  <c r="K280" i="20" s="1"/>
  <c r="M383" i="20"/>
  <c r="P383" i="20" s="1"/>
  <c r="M380" i="20"/>
  <c r="P380" i="20" s="1"/>
  <c r="N359" i="20"/>
  <c r="N336" i="20"/>
  <c r="O274" i="20"/>
  <c r="L268" i="20"/>
  <c r="O268" i="20" s="1"/>
  <c r="I221" i="20"/>
  <c r="K221" i="20" s="1"/>
  <c r="O191" i="20"/>
  <c r="N188" i="20"/>
  <c r="P178" i="20"/>
  <c r="M160" i="20"/>
  <c r="P160" i="20" s="1"/>
  <c r="P162" i="20"/>
  <c r="N160" i="20"/>
  <c r="K152" i="20"/>
  <c r="I137" i="20"/>
  <c r="K137" i="20" s="1"/>
  <c r="M145" i="20"/>
  <c r="P145" i="20" s="1"/>
  <c r="O140" i="20"/>
  <c r="O102" i="20"/>
  <c r="I82" i="20"/>
  <c r="N61" i="20"/>
  <c r="N59" i="20" s="1"/>
  <c r="N26" i="20"/>
  <c r="N24" i="20" s="1"/>
  <c r="L50" i="19"/>
  <c r="O50" i="19" s="1"/>
  <c r="P378" i="20"/>
  <c r="M322" i="20"/>
  <c r="P322" i="20" s="1"/>
  <c r="I319" i="20"/>
  <c r="K319" i="20" s="1"/>
  <c r="P290" i="20"/>
  <c r="O287" i="20"/>
  <c r="N284" i="20"/>
  <c r="N282" i="20" s="1"/>
  <c r="I213" i="20"/>
  <c r="K213" i="20" s="1"/>
  <c r="O194" i="20"/>
  <c r="L188" i="20"/>
  <c r="P174" i="20"/>
  <c r="L159" i="20"/>
  <c r="L160" i="20"/>
  <c r="O160" i="20" s="1"/>
  <c r="M141" i="20"/>
  <c r="M131" i="20"/>
  <c r="P131" i="20" s="1"/>
  <c r="O126" i="20"/>
  <c r="M75" i="20"/>
  <c r="P75" i="20" s="1"/>
  <c r="P77" i="20"/>
  <c r="L65" i="20"/>
  <c r="O65" i="20" s="1"/>
  <c r="L61" i="20"/>
  <c r="M50" i="20"/>
  <c r="P50" i="20" s="1"/>
  <c r="P52" i="20"/>
  <c r="M19" i="20"/>
  <c r="P22" i="20"/>
  <c r="L23" i="20"/>
  <c r="O77" i="19"/>
  <c r="P321" i="20"/>
  <c r="P308" i="20"/>
  <c r="O290" i="20"/>
  <c r="O267" i="20"/>
  <c r="O144" i="20"/>
  <c r="L131" i="20"/>
  <c r="O131" i="20" s="1"/>
  <c r="M127" i="20"/>
  <c r="P60" i="20"/>
  <c r="L26" i="20"/>
  <c r="O26" i="20" s="1"/>
  <c r="N46" i="20"/>
  <c r="N23" i="20"/>
  <c r="M142" i="20"/>
  <c r="P142" i="20" s="1"/>
  <c r="L322" i="20"/>
  <c r="L323" i="20"/>
  <c r="O323" i="20" s="1"/>
  <c r="L284" i="20"/>
  <c r="I253" i="20"/>
  <c r="K253" i="20" s="1"/>
  <c r="K260" i="20"/>
  <c r="L243" i="20"/>
  <c r="I242" i="20"/>
  <c r="N96" i="20"/>
  <c r="N94" i="20" s="1"/>
  <c r="I83" i="20"/>
  <c r="M78" i="20"/>
  <c r="P78" i="20" s="1"/>
  <c r="P80" i="20"/>
  <c r="P62" i="20"/>
  <c r="M46" i="20"/>
  <c r="M23" i="20"/>
  <c r="O328" i="19"/>
  <c r="N379" i="19"/>
  <c r="N377" i="19" s="1"/>
  <c r="K109" i="19"/>
  <c r="N188" i="19"/>
  <c r="N186" i="19" s="1"/>
  <c r="K330" i="19"/>
  <c r="P144" i="19"/>
  <c r="L235" i="19"/>
  <c r="L222" i="19"/>
  <c r="O222" i="19" s="1"/>
  <c r="K220" i="19"/>
  <c r="M188" i="19"/>
  <c r="M186" i="19" s="1"/>
  <c r="O162" i="19"/>
  <c r="P271" i="19"/>
  <c r="O189" i="19"/>
  <c r="K346" i="19"/>
  <c r="P328" i="19"/>
  <c r="M74" i="18"/>
  <c r="M72" i="18" s="1"/>
  <c r="M96" i="19"/>
  <c r="P96" i="19" s="1"/>
  <c r="P323" i="18"/>
  <c r="P385" i="19"/>
  <c r="L383" i="19"/>
  <c r="O383" i="19" s="1"/>
  <c r="K371" i="19"/>
  <c r="K368" i="19"/>
  <c r="K344" i="19"/>
  <c r="O382" i="19"/>
  <c r="O290" i="19"/>
  <c r="I202" i="19"/>
  <c r="K202" i="19" s="1"/>
  <c r="K108" i="19"/>
  <c r="P47" i="19"/>
  <c r="O287" i="19"/>
  <c r="L234" i="19"/>
  <c r="P194" i="19"/>
  <c r="L46" i="19"/>
  <c r="L44" i="19" s="1"/>
  <c r="M188" i="18"/>
  <c r="M186" i="18" s="1"/>
  <c r="N74" i="18"/>
  <c r="N72" i="18" s="1"/>
  <c r="K369" i="19"/>
  <c r="L335" i="19"/>
  <c r="L333" i="19" s="1"/>
  <c r="K293" i="19"/>
  <c r="M100" i="19"/>
  <c r="P100" i="19" s="1"/>
  <c r="L78" i="19"/>
  <c r="O78" i="19" s="1"/>
  <c r="P67" i="19"/>
  <c r="N232" i="19"/>
  <c r="M358" i="19"/>
  <c r="J351" i="19"/>
  <c r="M305" i="19"/>
  <c r="L268" i="19"/>
  <c r="L266" i="19" s="1"/>
  <c r="O266" i="19" s="1"/>
  <c r="L236" i="19"/>
  <c r="L188" i="19"/>
  <c r="L186" i="19" s="1"/>
  <c r="K368" i="18"/>
  <c r="J351" i="18"/>
  <c r="P328" i="18"/>
  <c r="L379" i="19"/>
  <c r="O379" i="19" s="1"/>
  <c r="O361" i="19"/>
  <c r="O325" i="19"/>
  <c r="K314" i="19"/>
  <c r="L305" i="19"/>
  <c r="L303" i="19" s="1"/>
  <c r="O303" i="19" s="1"/>
  <c r="M285" i="19"/>
  <c r="P285" i="19" s="1"/>
  <c r="M268" i="19"/>
  <c r="P268" i="19" s="1"/>
  <c r="K195" i="19"/>
  <c r="O194" i="19"/>
  <c r="O165" i="19"/>
  <c r="N141" i="19"/>
  <c r="N139" i="19" s="1"/>
  <c r="N74" i="19"/>
  <c r="N72" i="19" s="1"/>
  <c r="P64" i="19"/>
  <c r="L127" i="19"/>
  <c r="O127" i="19" s="1"/>
  <c r="M163" i="18"/>
  <c r="P163" i="18" s="1"/>
  <c r="M356" i="19"/>
  <c r="N322" i="19"/>
  <c r="N320" i="19" s="1"/>
  <c r="K292" i="19"/>
  <c r="N284" i="19"/>
  <c r="N282" i="19" s="1"/>
  <c r="P274" i="19"/>
  <c r="I253" i="19"/>
  <c r="K253" i="19" s="1"/>
  <c r="O133" i="19"/>
  <c r="O102" i="19"/>
  <c r="I82" i="19"/>
  <c r="I70" i="19" s="1"/>
  <c r="K70" i="19" s="1"/>
  <c r="N61" i="19"/>
  <c r="N59" i="19" s="1"/>
  <c r="P382" i="19"/>
  <c r="M322" i="19"/>
  <c r="P322" i="19" s="1"/>
  <c r="P311" i="19"/>
  <c r="O274" i="19"/>
  <c r="L254" i="19"/>
  <c r="O254" i="19" s="1"/>
  <c r="L233" i="19"/>
  <c r="L203" i="19"/>
  <c r="O203" i="19" s="1"/>
  <c r="O191" i="19"/>
  <c r="N175" i="19"/>
  <c r="N173" i="19" s="1"/>
  <c r="O142" i="19"/>
  <c r="N127" i="19"/>
  <c r="N125" i="19" s="1"/>
  <c r="L74" i="19"/>
  <c r="O74" i="19" s="1"/>
  <c r="M61" i="19"/>
  <c r="O49" i="19"/>
  <c r="M19" i="19"/>
  <c r="P19" i="19" s="1"/>
  <c r="N380" i="19"/>
  <c r="P364" i="19"/>
  <c r="M359" i="19"/>
  <c r="P359" i="19" s="1"/>
  <c r="J332" i="19"/>
  <c r="P341" i="19"/>
  <c r="N335" i="19"/>
  <c r="N333" i="19" s="1"/>
  <c r="P308" i="19"/>
  <c r="L214" i="19"/>
  <c r="O214" i="19" s="1"/>
  <c r="M189" i="19"/>
  <c r="P189" i="19" s="1"/>
  <c r="L175" i="19"/>
  <c r="L173" i="19" s="1"/>
  <c r="L159" i="19"/>
  <c r="L157" i="19" s="1"/>
  <c r="P99" i="19"/>
  <c r="I83" i="19"/>
  <c r="K83" i="19" s="1"/>
  <c r="O64" i="19"/>
  <c r="N46" i="19"/>
  <c r="L47" i="19"/>
  <c r="O47" i="19" s="1"/>
  <c r="N19" i="19"/>
  <c r="P336" i="19"/>
  <c r="M128" i="19"/>
  <c r="P128" i="19" s="1"/>
  <c r="I365" i="19"/>
  <c r="K365" i="19" s="1"/>
  <c r="L362" i="19"/>
  <c r="O362" i="19" s="1"/>
  <c r="L359" i="19"/>
  <c r="O359" i="19" s="1"/>
  <c r="J343" i="19"/>
  <c r="L339" i="19"/>
  <c r="O339" i="19" s="1"/>
  <c r="L309" i="19"/>
  <c r="O309" i="19" s="1"/>
  <c r="N179" i="19"/>
  <c r="L176" i="19"/>
  <c r="O176" i="19" s="1"/>
  <c r="M160" i="19"/>
  <c r="P160" i="19" s="1"/>
  <c r="P162" i="19"/>
  <c r="N160" i="19"/>
  <c r="O160" i="19" s="1"/>
  <c r="K152" i="19"/>
  <c r="I137" i="19"/>
  <c r="K137" i="19" s="1"/>
  <c r="M145" i="19"/>
  <c r="P145" i="19" s="1"/>
  <c r="O140" i="19"/>
  <c r="I138" i="19"/>
  <c r="K138" i="19" s="1"/>
  <c r="L128" i="19"/>
  <c r="O128" i="19" s="1"/>
  <c r="N75" i="19"/>
  <c r="L358" i="19"/>
  <c r="M176" i="19"/>
  <c r="P176" i="19" s="1"/>
  <c r="P178" i="19"/>
  <c r="P102" i="18"/>
  <c r="P361" i="19"/>
  <c r="P338" i="19"/>
  <c r="M335" i="19"/>
  <c r="L322" i="19"/>
  <c r="O322" i="19" s="1"/>
  <c r="M284" i="19"/>
  <c r="P284" i="19" s="1"/>
  <c r="L269" i="19"/>
  <c r="O269" i="19" s="1"/>
  <c r="L243" i="19"/>
  <c r="M179" i="19"/>
  <c r="P179" i="19" s="1"/>
  <c r="I172" i="19"/>
  <c r="K172" i="19" s="1"/>
  <c r="L145" i="19"/>
  <c r="O145" i="19" s="1"/>
  <c r="M141" i="19"/>
  <c r="M131" i="19"/>
  <c r="P131" i="19" s="1"/>
  <c r="O126" i="19"/>
  <c r="M75" i="19"/>
  <c r="P75" i="19" s="1"/>
  <c r="P77" i="19"/>
  <c r="O73" i="19"/>
  <c r="N26" i="19"/>
  <c r="N24" i="19" s="1"/>
  <c r="L306" i="19"/>
  <c r="O306" i="19" s="1"/>
  <c r="K346" i="18"/>
  <c r="O341" i="19"/>
  <c r="I332" i="19"/>
  <c r="M323" i="19"/>
  <c r="P323" i="19" s="1"/>
  <c r="O321" i="19"/>
  <c r="O308" i="19"/>
  <c r="N305" i="19"/>
  <c r="N303" i="19" s="1"/>
  <c r="L284" i="19"/>
  <c r="O284" i="19" s="1"/>
  <c r="K229" i="19"/>
  <c r="L179" i="19"/>
  <c r="O179" i="19" s="1"/>
  <c r="I169" i="19"/>
  <c r="K169" i="19" s="1"/>
  <c r="M163" i="19"/>
  <c r="P163" i="19" s="1"/>
  <c r="P165" i="19"/>
  <c r="I156" i="19"/>
  <c r="K156" i="19" s="1"/>
  <c r="O144" i="19"/>
  <c r="L141" i="19"/>
  <c r="M127" i="19"/>
  <c r="O25" i="19"/>
  <c r="I238" i="19"/>
  <c r="K238" i="19" s="1"/>
  <c r="M74" i="17"/>
  <c r="M72" i="17" s="1"/>
  <c r="M379" i="19"/>
  <c r="P379" i="19" s="1"/>
  <c r="N358" i="19"/>
  <c r="P334" i="19"/>
  <c r="P283" i="19"/>
  <c r="I242" i="19"/>
  <c r="O178" i="19"/>
  <c r="M175" i="19"/>
  <c r="N159" i="19"/>
  <c r="N157" i="19" s="1"/>
  <c r="O130" i="19"/>
  <c r="N96" i="19"/>
  <c r="N94" i="19" s="1"/>
  <c r="M78" i="19"/>
  <c r="P78" i="19" s="1"/>
  <c r="P80" i="19"/>
  <c r="M74" i="19"/>
  <c r="P60" i="19"/>
  <c r="L26" i="19"/>
  <c r="O26" i="19" s="1"/>
  <c r="L236" i="18"/>
  <c r="K153" i="18"/>
  <c r="O338" i="19"/>
  <c r="L336" i="19"/>
  <c r="O336" i="19" s="1"/>
  <c r="M288" i="19"/>
  <c r="P288" i="19" s="1"/>
  <c r="N268" i="19"/>
  <c r="N266" i="19" s="1"/>
  <c r="K198" i="19"/>
  <c r="P191" i="19"/>
  <c r="I168" i="19"/>
  <c r="K168" i="19" s="1"/>
  <c r="M159" i="19"/>
  <c r="P159" i="19" s="1"/>
  <c r="M142" i="19"/>
  <c r="P142" i="19" s="1"/>
  <c r="I136" i="19"/>
  <c r="K136" i="19" s="1"/>
  <c r="O99" i="19"/>
  <c r="L96" i="19"/>
  <c r="O67" i="19"/>
  <c r="L65" i="19"/>
  <c r="O65" i="19" s="1"/>
  <c r="P62" i="19"/>
  <c r="M26" i="19"/>
  <c r="L19" i="19"/>
  <c r="P52" i="19"/>
  <c r="P49" i="19"/>
  <c r="O45" i="19"/>
  <c r="L61" i="19"/>
  <c r="N23" i="19"/>
  <c r="L62" i="19"/>
  <c r="O62" i="19" s="1"/>
  <c r="M23" i="19"/>
  <c r="M21" i="19" s="1"/>
  <c r="M46" i="19"/>
  <c r="L23" i="19"/>
  <c r="L21" i="19" s="1"/>
  <c r="P22" i="19"/>
  <c r="P287" i="18"/>
  <c r="O189" i="18"/>
  <c r="O162" i="18"/>
  <c r="L50" i="18"/>
  <c r="O50" i="18" s="1"/>
  <c r="M339" i="18"/>
  <c r="P339" i="18" s="1"/>
  <c r="L214" i="18"/>
  <c r="O214" i="18" s="1"/>
  <c r="O323" i="18"/>
  <c r="L233" i="18"/>
  <c r="K220" i="18"/>
  <c r="L175" i="18"/>
  <c r="L173" i="18" s="1"/>
  <c r="M96" i="18"/>
  <c r="M358" i="18"/>
  <c r="M356" i="18" s="1"/>
  <c r="I319" i="18"/>
  <c r="K319" i="18" s="1"/>
  <c r="I136" i="18"/>
  <c r="K136" i="18" s="1"/>
  <c r="L234" i="17"/>
  <c r="M175" i="17"/>
  <c r="M173" i="17" s="1"/>
  <c r="P338" i="18"/>
  <c r="O328" i="18"/>
  <c r="N159" i="18"/>
  <c r="N157" i="18" s="1"/>
  <c r="I92" i="18"/>
  <c r="K92" i="18" s="1"/>
  <c r="L74" i="18"/>
  <c r="O47" i="17"/>
  <c r="O385" i="18"/>
  <c r="P364" i="18"/>
  <c r="M335" i="18"/>
  <c r="M333" i="18" s="1"/>
  <c r="L284" i="18"/>
  <c r="O284" i="18" s="1"/>
  <c r="L141" i="18"/>
  <c r="O141" i="18" s="1"/>
  <c r="O130" i="18"/>
  <c r="M65" i="18"/>
  <c r="P65" i="18" s="1"/>
  <c r="L236" i="17"/>
  <c r="K369" i="18"/>
  <c r="O364" i="18"/>
  <c r="N305" i="18"/>
  <c r="N303" i="18" s="1"/>
  <c r="P290" i="18"/>
  <c r="L288" i="18"/>
  <c r="O288" i="18" s="1"/>
  <c r="P271" i="18"/>
  <c r="K229" i="18"/>
  <c r="N188" i="18"/>
  <c r="N186" i="18" s="1"/>
  <c r="K183" i="18"/>
  <c r="L65" i="18"/>
  <c r="O65" i="18" s="1"/>
  <c r="L46" i="18"/>
  <c r="L44" i="18" s="1"/>
  <c r="P80" i="17"/>
  <c r="L379" i="18"/>
  <c r="O379" i="18" s="1"/>
  <c r="K249" i="18"/>
  <c r="K198" i="18"/>
  <c r="L127" i="18"/>
  <c r="O127" i="18" s="1"/>
  <c r="N75" i="18"/>
  <c r="L322" i="18"/>
  <c r="L320" i="18" s="1"/>
  <c r="K195" i="18"/>
  <c r="M159" i="18"/>
  <c r="L96" i="18"/>
  <c r="O96" i="18" s="1"/>
  <c r="O361" i="18"/>
  <c r="M359" i="18"/>
  <c r="J343" i="18"/>
  <c r="L285" i="18"/>
  <c r="O285" i="18" s="1"/>
  <c r="K213" i="18"/>
  <c r="K209" i="18"/>
  <c r="P194" i="18"/>
  <c r="O181" i="18"/>
  <c r="N127" i="18"/>
  <c r="N125" i="18" s="1"/>
  <c r="K109" i="18"/>
  <c r="P99" i="18"/>
  <c r="O80" i="18"/>
  <c r="P64" i="18"/>
  <c r="O382" i="18"/>
  <c r="K371" i="18"/>
  <c r="P361" i="18"/>
  <c r="O341" i="18"/>
  <c r="O325" i="18"/>
  <c r="N284" i="18"/>
  <c r="N282" i="18" s="1"/>
  <c r="I281" i="18"/>
  <c r="K281" i="18" s="1"/>
  <c r="L235" i="18"/>
  <c r="L222" i="18"/>
  <c r="O222" i="18" s="1"/>
  <c r="P191" i="18"/>
  <c r="M179" i="18"/>
  <c r="P179" i="18" s="1"/>
  <c r="L176" i="18"/>
  <c r="O165" i="18"/>
  <c r="O147" i="18"/>
  <c r="O99" i="18"/>
  <c r="O77" i="18"/>
  <c r="O62" i="18"/>
  <c r="L47" i="18"/>
  <c r="L380" i="18"/>
  <c r="O380" i="18" s="1"/>
  <c r="M284" i="18"/>
  <c r="P284" i="18" s="1"/>
  <c r="K221" i="18"/>
  <c r="L203" i="18"/>
  <c r="O203" i="18" s="1"/>
  <c r="O191" i="18"/>
  <c r="N175" i="18"/>
  <c r="M175" i="18"/>
  <c r="N141" i="18"/>
  <c r="N139" i="18" s="1"/>
  <c r="L75" i="18"/>
  <c r="M61" i="18"/>
  <c r="M59" i="18" s="1"/>
  <c r="O49" i="18"/>
  <c r="P181" i="17"/>
  <c r="K365" i="18"/>
  <c r="K344" i="18"/>
  <c r="O338" i="18"/>
  <c r="M336" i="18"/>
  <c r="M322" i="18"/>
  <c r="M320" i="18" s="1"/>
  <c r="N322" i="18"/>
  <c r="L234" i="18"/>
  <c r="I240" i="18"/>
  <c r="K240" i="18" s="1"/>
  <c r="M189" i="18"/>
  <c r="P189" i="18" s="1"/>
  <c r="M97" i="18"/>
  <c r="P97" i="18" s="1"/>
  <c r="O64" i="18"/>
  <c r="N379" i="18"/>
  <c r="N377" i="18" s="1"/>
  <c r="M160" i="17"/>
  <c r="P160" i="17" s="1"/>
  <c r="P162" i="17"/>
  <c r="K242" i="18"/>
  <c r="M285" i="17"/>
  <c r="P285" i="17" s="1"/>
  <c r="P287" i="17"/>
  <c r="P378" i="18"/>
  <c r="M379" i="18"/>
  <c r="P379" i="18" s="1"/>
  <c r="N358" i="18"/>
  <c r="N356" i="18" s="1"/>
  <c r="N335" i="18"/>
  <c r="N333" i="18" s="1"/>
  <c r="L309" i="18"/>
  <c r="O309" i="18" s="1"/>
  <c r="M272" i="18"/>
  <c r="P272" i="18" s="1"/>
  <c r="I238" i="18"/>
  <c r="K238" i="18" s="1"/>
  <c r="P178" i="18"/>
  <c r="N176" i="18"/>
  <c r="N160" i="18"/>
  <c r="L142" i="18"/>
  <c r="O142" i="18" s="1"/>
  <c r="M128" i="18"/>
  <c r="P128" i="18" s="1"/>
  <c r="M47" i="18"/>
  <c r="P49" i="18"/>
  <c r="N47" i="18"/>
  <c r="L269" i="18"/>
  <c r="O269" i="18" s="1"/>
  <c r="M142" i="18"/>
  <c r="P142" i="18" s="1"/>
  <c r="M26" i="18"/>
  <c r="P189" i="17"/>
  <c r="M383" i="18"/>
  <c r="P383" i="18" s="1"/>
  <c r="M380" i="18"/>
  <c r="P380" i="18" s="1"/>
  <c r="N359" i="18"/>
  <c r="N336" i="18"/>
  <c r="K314" i="18"/>
  <c r="P308" i="18"/>
  <c r="M305" i="18"/>
  <c r="P305" i="18" s="1"/>
  <c r="K293" i="18"/>
  <c r="L272" i="18"/>
  <c r="O272" i="18" s="1"/>
  <c r="N268" i="18"/>
  <c r="N266" i="18" s="1"/>
  <c r="L254" i="18"/>
  <c r="O254" i="18" s="1"/>
  <c r="I253" i="18"/>
  <c r="K253" i="18" s="1"/>
  <c r="I241" i="18"/>
  <c r="K241" i="18" s="1"/>
  <c r="K230" i="18"/>
  <c r="O194" i="18"/>
  <c r="L188" i="18"/>
  <c r="M176" i="18"/>
  <c r="P174" i="18"/>
  <c r="L159" i="18"/>
  <c r="M160" i="18"/>
  <c r="P160" i="18" s="1"/>
  <c r="K152" i="18"/>
  <c r="I137" i="18"/>
  <c r="K137" i="18" s="1"/>
  <c r="M145" i="18"/>
  <c r="P145" i="18" s="1"/>
  <c r="O140" i="18"/>
  <c r="O102" i="18"/>
  <c r="I82" i="18"/>
  <c r="N61" i="18"/>
  <c r="N59" i="18" s="1"/>
  <c r="N26" i="18"/>
  <c r="N24" i="18" s="1"/>
  <c r="L358" i="18"/>
  <c r="L335" i="18"/>
  <c r="J332" i="18"/>
  <c r="K332" i="18" s="1"/>
  <c r="L305" i="18"/>
  <c r="O283" i="18"/>
  <c r="M268" i="18"/>
  <c r="P268" i="18" s="1"/>
  <c r="L243" i="18"/>
  <c r="P187" i="18"/>
  <c r="M141" i="18"/>
  <c r="M131" i="18"/>
  <c r="P131" i="18" s="1"/>
  <c r="O126" i="18"/>
  <c r="M75" i="18"/>
  <c r="P77" i="18"/>
  <c r="L61" i="18"/>
  <c r="M50" i="18"/>
  <c r="P50" i="18" s="1"/>
  <c r="P52" i="18"/>
  <c r="O287" i="17"/>
  <c r="P311" i="18"/>
  <c r="P304" i="18"/>
  <c r="L268" i="18"/>
  <c r="I156" i="18"/>
  <c r="K156" i="18" s="1"/>
  <c r="O144" i="18"/>
  <c r="L131" i="18"/>
  <c r="O131" i="18" s="1"/>
  <c r="M127" i="18"/>
  <c r="P60" i="18"/>
  <c r="L26" i="18"/>
  <c r="O26" i="18" s="1"/>
  <c r="N46" i="18"/>
  <c r="N23" i="18"/>
  <c r="O19" i="18"/>
  <c r="L23" i="18"/>
  <c r="L21" i="18" s="1"/>
  <c r="P359" i="17"/>
  <c r="P325" i="18"/>
  <c r="L306" i="18"/>
  <c r="O306" i="18" s="1"/>
  <c r="O178" i="18"/>
  <c r="N96" i="18"/>
  <c r="N94" i="18" s="1"/>
  <c r="I83" i="18"/>
  <c r="M78" i="18"/>
  <c r="P78" i="18" s="1"/>
  <c r="P80" i="18"/>
  <c r="P62" i="18"/>
  <c r="M46" i="18"/>
  <c r="M23" i="18"/>
  <c r="P22" i="18"/>
  <c r="K369" i="16"/>
  <c r="O102" i="17"/>
  <c r="O194" i="17"/>
  <c r="O133" i="17"/>
  <c r="M322" i="17"/>
  <c r="P322" i="17" s="1"/>
  <c r="O189" i="16"/>
  <c r="N335" i="17"/>
  <c r="N333" i="17" s="1"/>
  <c r="I202" i="17"/>
  <c r="K202" i="17" s="1"/>
  <c r="M192" i="17"/>
  <c r="P192" i="17" s="1"/>
  <c r="P64" i="17"/>
  <c r="K330" i="17"/>
  <c r="O311" i="17"/>
  <c r="N175" i="17"/>
  <c r="N173" i="17" s="1"/>
  <c r="O62" i="17"/>
  <c r="M46" i="17"/>
  <c r="M44" i="17" s="1"/>
  <c r="O325" i="17"/>
  <c r="O271" i="17"/>
  <c r="P311" i="16"/>
  <c r="K209" i="16"/>
  <c r="M362" i="17"/>
  <c r="P362" i="17" s="1"/>
  <c r="K346" i="17"/>
  <c r="N322" i="17"/>
  <c r="N320" i="17" s="1"/>
  <c r="L305" i="17"/>
  <c r="L303" i="17" s="1"/>
  <c r="L214" i="17"/>
  <c r="O214" i="17" s="1"/>
  <c r="L175" i="17"/>
  <c r="L173" i="17" s="1"/>
  <c r="P133" i="17"/>
  <c r="J343" i="17"/>
  <c r="K220" i="17"/>
  <c r="K108" i="17"/>
  <c r="I83" i="17"/>
  <c r="K83" i="17" s="1"/>
  <c r="N74" i="17"/>
  <c r="N72" i="17" s="1"/>
  <c r="N268" i="17"/>
  <c r="N266" i="17" s="1"/>
  <c r="N96" i="17"/>
  <c r="N94" i="17" s="1"/>
  <c r="L284" i="17"/>
  <c r="O284" i="17" s="1"/>
  <c r="L268" i="17"/>
  <c r="J231" i="17"/>
  <c r="J185" i="17" s="1"/>
  <c r="N159" i="17"/>
  <c r="N157" i="17" s="1"/>
  <c r="M23" i="17"/>
  <c r="M21" i="17" s="1"/>
  <c r="P189" i="15"/>
  <c r="K368" i="16"/>
  <c r="M305" i="16"/>
  <c r="P305" i="16" s="1"/>
  <c r="M100" i="16"/>
  <c r="P100" i="16" s="1"/>
  <c r="L383" i="17"/>
  <c r="O383" i="17" s="1"/>
  <c r="K371" i="17"/>
  <c r="M358" i="17"/>
  <c r="M356" i="17" s="1"/>
  <c r="K344" i="17"/>
  <c r="P338" i="17"/>
  <c r="M309" i="17"/>
  <c r="P309" i="17" s="1"/>
  <c r="P290" i="17"/>
  <c r="M284" i="17"/>
  <c r="P284" i="17" s="1"/>
  <c r="I280" i="17"/>
  <c r="K280" i="17" s="1"/>
  <c r="I253" i="17"/>
  <c r="K253" i="17" s="1"/>
  <c r="L235" i="17"/>
  <c r="I242" i="17"/>
  <c r="I238" i="17"/>
  <c r="K238" i="17" s="1"/>
  <c r="L222" i="17"/>
  <c r="O222" i="17" s="1"/>
  <c r="P191" i="17"/>
  <c r="O181" i="17"/>
  <c r="M159" i="17"/>
  <c r="P159" i="17" s="1"/>
  <c r="K153" i="17"/>
  <c r="N127" i="17"/>
  <c r="N125" i="17" s="1"/>
  <c r="M75" i="17"/>
  <c r="M65" i="17"/>
  <c r="P65" i="17" s="1"/>
  <c r="M62" i="17"/>
  <c r="P62" i="17" s="1"/>
  <c r="N19" i="17"/>
  <c r="N379" i="17"/>
  <c r="N377" i="17" s="1"/>
  <c r="O361" i="17"/>
  <c r="O338" i="17"/>
  <c r="P328" i="17"/>
  <c r="P306" i="17"/>
  <c r="O290" i="17"/>
  <c r="O274" i="17"/>
  <c r="O189" i="17"/>
  <c r="M176" i="17"/>
  <c r="O160" i="17"/>
  <c r="O147" i="17"/>
  <c r="N61" i="17"/>
  <c r="N59" i="17" s="1"/>
  <c r="M50" i="17"/>
  <c r="P50" i="17" s="1"/>
  <c r="M47" i="17"/>
  <c r="P47" i="17" s="1"/>
  <c r="K292" i="16"/>
  <c r="P325" i="17"/>
  <c r="M272" i="17"/>
  <c r="P272" i="17" s="1"/>
  <c r="L254" i="17"/>
  <c r="O254" i="17" s="1"/>
  <c r="L233" i="17"/>
  <c r="K152" i="17"/>
  <c r="N141" i="17"/>
  <c r="N139" i="17" s="1"/>
  <c r="P102" i="17"/>
  <c r="L379" i="17"/>
  <c r="O379" i="17" s="1"/>
  <c r="K369" i="17"/>
  <c r="J351" i="17"/>
  <c r="N323" i="17"/>
  <c r="M269" i="17"/>
  <c r="P269" i="17" s="1"/>
  <c r="L203" i="17"/>
  <c r="O203" i="17" s="1"/>
  <c r="P165" i="17"/>
  <c r="N97" i="17"/>
  <c r="P19" i="17"/>
  <c r="L358" i="17"/>
  <c r="L176" i="17"/>
  <c r="M145" i="17"/>
  <c r="P145" i="17" s="1"/>
  <c r="L78" i="17"/>
  <c r="O78" i="17" s="1"/>
  <c r="L65" i="17"/>
  <c r="O65" i="17" s="1"/>
  <c r="K369" i="15"/>
  <c r="P361" i="16"/>
  <c r="L214" i="16"/>
  <c r="O214" i="16" s="1"/>
  <c r="P385" i="17"/>
  <c r="P382" i="17"/>
  <c r="O378" i="17"/>
  <c r="I365" i="17"/>
  <c r="K365" i="17" s="1"/>
  <c r="L362" i="17"/>
  <c r="O362" i="17" s="1"/>
  <c r="L359" i="17"/>
  <c r="O359" i="17" s="1"/>
  <c r="P357" i="17"/>
  <c r="N336" i="17"/>
  <c r="O336" i="17" s="1"/>
  <c r="O334" i="17"/>
  <c r="O328" i="17"/>
  <c r="I302" i="17"/>
  <c r="K302" i="17" s="1"/>
  <c r="N188" i="17"/>
  <c r="N186" i="17" s="1"/>
  <c r="O162" i="17"/>
  <c r="L159" i="17"/>
  <c r="I136" i="17"/>
  <c r="K136" i="17" s="1"/>
  <c r="K154" i="17"/>
  <c r="P144" i="17"/>
  <c r="M141" i="17"/>
  <c r="K109" i="17"/>
  <c r="I93" i="17"/>
  <c r="K93" i="17" s="1"/>
  <c r="I82" i="17"/>
  <c r="O77" i="17"/>
  <c r="L74" i="17"/>
  <c r="O64" i="17"/>
  <c r="L61" i="17"/>
  <c r="P25" i="17"/>
  <c r="L23" i="17"/>
  <c r="L21" i="17" s="1"/>
  <c r="L234" i="14"/>
  <c r="N322" i="16"/>
  <c r="N320" i="16" s="1"/>
  <c r="O162" i="16"/>
  <c r="O382" i="17"/>
  <c r="P361" i="17"/>
  <c r="P341" i="17"/>
  <c r="N305" i="17"/>
  <c r="N303" i="17" s="1"/>
  <c r="K292" i="17"/>
  <c r="L243" i="17"/>
  <c r="O191" i="17"/>
  <c r="L188" i="17"/>
  <c r="K183" i="17"/>
  <c r="O165" i="17"/>
  <c r="O144" i="17"/>
  <c r="L141" i="17"/>
  <c r="O141" i="17" s="1"/>
  <c r="P130" i="17"/>
  <c r="M127" i="17"/>
  <c r="P99" i="17"/>
  <c r="M96" i="17"/>
  <c r="N75" i="17"/>
  <c r="O75" i="17" s="1"/>
  <c r="P77" i="17"/>
  <c r="L26" i="17"/>
  <c r="O26" i="17" s="1"/>
  <c r="L50" i="17"/>
  <c r="O50" i="17" s="1"/>
  <c r="N46" i="17"/>
  <c r="O25" i="17"/>
  <c r="L306" i="17"/>
  <c r="O306" i="17" s="1"/>
  <c r="I156" i="17"/>
  <c r="K156" i="17" s="1"/>
  <c r="M26" i="17"/>
  <c r="P26" i="17" s="1"/>
  <c r="L96" i="16"/>
  <c r="O96" i="16" s="1"/>
  <c r="O341" i="17"/>
  <c r="L335" i="17"/>
  <c r="I332" i="17"/>
  <c r="O308" i="17"/>
  <c r="N284" i="17"/>
  <c r="N282" i="17" s="1"/>
  <c r="K198" i="17"/>
  <c r="O178" i="17"/>
  <c r="I169" i="17"/>
  <c r="K169" i="17" s="1"/>
  <c r="O140" i="17"/>
  <c r="O130" i="17"/>
  <c r="L127" i="17"/>
  <c r="O127" i="17" s="1"/>
  <c r="O99" i="17"/>
  <c r="L96" i="17"/>
  <c r="O96" i="17" s="1"/>
  <c r="K87" i="17"/>
  <c r="O49" i="17"/>
  <c r="L46" i="17"/>
  <c r="M379" i="17"/>
  <c r="P379" i="17" s="1"/>
  <c r="N358" i="17"/>
  <c r="N356" i="17" s="1"/>
  <c r="N339" i="17"/>
  <c r="P304" i="17"/>
  <c r="N176" i="17"/>
  <c r="P178" i="17"/>
  <c r="N23" i="17"/>
  <c r="N268" i="16"/>
  <c r="N266" i="16" s="1"/>
  <c r="I168" i="16"/>
  <c r="K168" i="16" s="1"/>
  <c r="J332" i="17"/>
  <c r="M335" i="17"/>
  <c r="L322" i="17"/>
  <c r="O322" i="17" s="1"/>
  <c r="P308" i="17"/>
  <c r="I221" i="17"/>
  <c r="K221" i="17" s="1"/>
  <c r="K167" i="17"/>
  <c r="M97" i="17"/>
  <c r="P97" i="17" s="1"/>
  <c r="N26" i="17"/>
  <c r="N24" i="17" s="1"/>
  <c r="M305" i="17"/>
  <c r="M303" i="17" s="1"/>
  <c r="M268" i="17"/>
  <c r="M188" i="17"/>
  <c r="M61" i="17"/>
  <c r="P49" i="17"/>
  <c r="K330" i="16"/>
  <c r="N323" i="16"/>
  <c r="I253" i="16"/>
  <c r="K253" i="16" s="1"/>
  <c r="L234" i="16"/>
  <c r="P194" i="16"/>
  <c r="L127" i="16"/>
  <c r="O127" i="16" s="1"/>
  <c r="N61" i="1"/>
  <c r="P271" i="16"/>
  <c r="O361" i="16"/>
  <c r="K346" i="16"/>
  <c r="M322" i="16"/>
  <c r="P322" i="16" s="1"/>
  <c r="M306" i="16"/>
  <c r="P306" i="16" s="1"/>
  <c r="M188" i="16"/>
  <c r="I156" i="16"/>
  <c r="K156" i="16" s="1"/>
  <c r="O147" i="16"/>
  <c r="K108" i="16"/>
  <c r="K371" i="16"/>
  <c r="O311" i="16"/>
  <c r="L141" i="16"/>
  <c r="L139" i="16" s="1"/>
  <c r="I136" i="16"/>
  <c r="K136" i="16" s="1"/>
  <c r="L131" i="16"/>
  <c r="O131" i="16" s="1"/>
  <c r="O338" i="16"/>
  <c r="P191" i="16"/>
  <c r="P130" i="16"/>
  <c r="L78" i="16"/>
  <c r="O78" i="16" s="1"/>
  <c r="M141" i="14"/>
  <c r="I238" i="16"/>
  <c r="K238" i="16" s="1"/>
  <c r="O178" i="16"/>
  <c r="O130" i="16"/>
  <c r="M383" i="16"/>
  <c r="P383" i="16" s="1"/>
  <c r="M186" i="16"/>
  <c r="L50" i="16"/>
  <c r="O50" i="16" s="1"/>
  <c r="K346" i="14"/>
  <c r="L235" i="16"/>
  <c r="N141" i="16"/>
  <c r="N139" i="16" s="1"/>
  <c r="L74" i="16"/>
  <c r="O74" i="16" s="1"/>
  <c r="J351" i="15"/>
  <c r="N305" i="15"/>
  <c r="N303" i="15" s="1"/>
  <c r="K260" i="15"/>
  <c r="I238" i="15"/>
  <c r="K238" i="15" s="1"/>
  <c r="O178" i="15"/>
  <c r="O359" i="16"/>
  <c r="O341" i="16"/>
  <c r="M288" i="16"/>
  <c r="P288" i="16" s="1"/>
  <c r="O271" i="16"/>
  <c r="L233" i="16"/>
  <c r="K229" i="16"/>
  <c r="L222" i="16"/>
  <c r="O222" i="16" s="1"/>
  <c r="M189" i="16"/>
  <c r="P189" i="16" s="1"/>
  <c r="P144" i="16"/>
  <c r="P133" i="16"/>
  <c r="N127" i="16"/>
  <c r="N125" i="16" s="1"/>
  <c r="N128" i="16"/>
  <c r="M96" i="16"/>
  <c r="P96" i="16" s="1"/>
  <c r="N74" i="16"/>
  <c r="N72" i="16" s="1"/>
  <c r="L75" i="16"/>
  <c r="O75" i="16" s="1"/>
  <c r="P67" i="16"/>
  <c r="M61" i="16"/>
  <c r="M59" i="16" s="1"/>
  <c r="O22" i="16"/>
  <c r="M379" i="16"/>
  <c r="P379" i="16" s="1"/>
  <c r="P308" i="16"/>
  <c r="N284" i="16"/>
  <c r="N282" i="16" s="1"/>
  <c r="N232" i="16"/>
  <c r="K249" i="16"/>
  <c r="K221" i="16"/>
  <c r="N159" i="16"/>
  <c r="N157" i="16" s="1"/>
  <c r="M160" i="16"/>
  <c r="P160" i="16" s="1"/>
  <c r="O144" i="16"/>
  <c r="N142" i="16"/>
  <c r="O142" i="16" s="1"/>
  <c r="L128" i="16"/>
  <c r="O128" i="16" s="1"/>
  <c r="O67" i="16"/>
  <c r="L61" i="16"/>
  <c r="L59" i="16" s="1"/>
  <c r="L46" i="16"/>
  <c r="O364" i="16"/>
  <c r="J351" i="16"/>
  <c r="M326" i="16"/>
  <c r="P326" i="16" s="1"/>
  <c r="O308" i="16"/>
  <c r="M268" i="16"/>
  <c r="P268" i="16" s="1"/>
  <c r="L236" i="16"/>
  <c r="N188" i="16"/>
  <c r="L160" i="16"/>
  <c r="O160" i="16" s="1"/>
  <c r="P147" i="16"/>
  <c r="K252" i="15"/>
  <c r="P325" i="16"/>
  <c r="L305" i="16"/>
  <c r="L303" i="16" s="1"/>
  <c r="O303" i="16" s="1"/>
  <c r="L284" i="16"/>
  <c r="L282" i="16" s="1"/>
  <c r="O282" i="16" s="1"/>
  <c r="P274" i="16"/>
  <c r="J231" i="16"/>
  <c r="J185" i="16" s="1"/>
  <c r="I195" i="16"/>
  <c r="K195" i="16" s="1"/>
  <c r="N175" i="16"/>
  <c r="N173" i="16" s="1"/>
  <c r="P176" i="16"/>
  <c r="N358" i="16"/>
  <c r="N356" i="16" s="1"/>
  <c r="K344" i="16"/>
  <c r="M323" i="16"/>
  <c r="P323" i="16" s="1"/>
  <c r="I302" i="16"/>
  <c r="K302" i="16" s="1"/>
  <c r="I242" i="16"/>
  <c r="K220" i="16"/>
  <c r="L203" i="16"/>
  <c r="O203" i="16" s="1"/>
  <c r="P178" i="16"/>
  <c r="L176" i="16"/>
  <c r="O176" i="16" s="1"/>
  <c r="I172" i="16"/>
  <c r="K172" i="16" s="1"/>
  <c r="I82" i="16"/>
  <c r="K82" i="16" s="1"/>
  <c r="P336" i="16"/>
  <c r="L379" i="16"/>
  <c r="M358" i="16"/>
  <c r="L336" i="16"/>
  <c r="O336" i="16" s="1"/>
  <c r="L254" i="16"/>
  <c r="O254" i="16" s="1"/>
  <c r="M26" i="16"/>
  <c r="P26" i="16" s="1"/>
  <c r="K346" i="15"/>
  <c r="L383" i="16"/>
  <c r="O383" i="16" s="1"/>
  <c r="L380" i="16"/>
  <c r="O380" i="16" s="1"/>
  <c r="P378" i="16"/>
  <c r="J365" i="16"/>
  <c r="K365" i="16" s="1"/>
  <c r="M362" i="16"/>
  <c r="P362" i="16" s="1"/>
  <c r="M359" i="16"/>
  <c r="P359" i="16" s="1"/>
  <c r="L358" i="16"/>
  <c r="M339" i="16"/>
  <c r="P339" i="16" s="1"/>
  <c r="O325" i="16"/>
  <c r="L288" i="16"/>
  <c r="O288" i="16" s="1"/>
  <c r="O274" i="16"/>
  <c r="L268" i="16"/>
  <c r="O191" i="16"/>
  <c r="O174" i="16"/>
  <c r="P47" i="16"/>
  <c r="P19" i="16"/>
  <c r="P99" i="15"/>
  <c r="P382" i="16"/>
  <c r="J343" i="16"/>
  <c r="N335" i="16"/>
  <c r="N333" i="16" s="1"/>
  <c r="O328" i="16"/>
  <c r="O287" i="16"/>
  <c r="P267" i="16"/>
  <c r="O194" i="16"/>
  <c r="L188" i="16"/>
  <c r="M175" i="16"/>
  <c r="K167" i="16"/>
  <c r="M159" i="16"/>
  <c r="P159" i="16" s="1"/>
  <c r="K152" i="16"/>
  <c r="I137" i="16"/>
  <c r="K137" i="16" s="1"/>
  <c r="I83" i="16"/>
  <c r="P60" i="16"/>
  <c r="O194" i="15"/>
  <c r="M192" i="15"/>
  <c r="P192" i="15" s="1"/>
  <c r="M179" i="15"/>
  <c r="P179" i="15" s="1"/>
  <c r="O357" i="16"/>
  <c r="P338" i="16"/>
  <c r="M335" i="16"/>
  <c r="P335" i="16" s="1"/>
  <c r="J332" i="16"/>
  <c r="K332" i="16" s="1"/>
  <c r="L322" i="16"/>
  <c r="M284" i="16"/>
  <c r="L243" i="16"/>
  <c r="P187" i="16"/>
  <c r="L175" i="16"/>
  <c r="L159" i="16"/>
  <c r="O102" i="16"/>
  <c r="L100" i="16"/>
  <c r="O100" i="16" s="1"/>
  <c r="O99" i="16"/>
  <c r="L97" i="16"/>
  <c r="O97" i="16" s="1"/>
  <c r="O64" i="16"/>
  <c r="P64" i="16"/>
  <c r="N62" i="16"/>
  <c r="O25" i="16"/>
  <c r="K371" i="15"/>
  <c r="N379" i="16"/>
  <c r="N377" i="16" s="1"/>
  <c r="L335" i="16"/>
  <c r="N305" i="16"/>
  <c r="N303" i="16" s="1"/>
  <c r="K293" i="16"/>
  <c r="M179" i="16"/>
  <c r="P179" i="16" s="1"/>
  <c r="M163" i="16"/>
  <c r="P163" i="16" s="1"/>
  <c r="K229" i="15"/>
  <c r="M285" i="16"/>
  <c r="P285" i="16" s="1"/>
  <c r="L179" i="16"/>
  <c r="O179" i="16" s="1"/>
  <c r="L163" i="16"/>
  <c r="O163" i="16" s="1"/>
  <c r="N61" i="16"/>
  <c r="N59" i="16" s="1"/>
  <c r="N26" i="16"/>
  <c r="N24" i="16" s="1"/>
  <c r="O47" i="16"/>
  <c r="O19" i="16"/>
  <c r="O158" i="16"/>
  <c r="P95" i="16"/>
  <c r="I93" i="16"/>
  <c r="K93" i="16" s="1"/>
  <c r="P80" i="16"/>
  <c r="P77" i="16"/>
  <c r="O73" i="16"/>
  <c r="P52" i="16"/>
  <c r="P49" i="16"/>
  <c r="O45" i="16"/>
  <c r="L26" i="16"/>
  <c r="O26" i="16" s="1"/>
  <c r="M141" i="16"/>
  <c r="M127" i="16"/>
  <c r="P99" i="16"/>
  <c r="O95" i="16"/>
  <c r="O77" i="16"/>
  <c r="O49" i="16"/>
  <c r="P25" i="16"/>
  <c r="N23" i="16"/>
  <c r="K153" i="16"/>
  <c r="K85" i="16"/>
  <c r="N46" i="16"/>
  <c r="N44" i="16" s="1"/>
  <c r="M23" i="16"/>
  <c r="N96" i="16"/>
  <c r="N94" i="16" s="1"/>
  <c r="M74" i="16"/>
  <c r="P74" i="16" s="1"/>
  <c r="M46" i="16"/>
  <c r="L23" i="16"/>
  <c r="L21" i="16" s="1"/>
  <c r="P22" i="16"/>
  <c r="L233" i="15"/>
  <c r="O102" i="15"/>
  <c r="O341" i="15"/>
  <c r="O311" i="15"/>
  <c r="O147" i="15"/>
  <c r="O133" i="15"/>
  <c r="K220" i="15"/>
  <c r="L159" i="15"/>
  <c r="L157" i="15" s="1"/>
  <c r="O157" i="15" s="1"/>
  <c r="M74" i="15"/>
  <c r="P74" i="15" s="1"/>
  <c r="O308" i="15"/>
  <c r="L175" i="15"/>
  <c r="L173" i="15" s="1"/>
  <c r="O52" i="15"/>
  <c r="M65" i="15"/>
  <c r="P65" i="15" s="1"/>
  <c r="L46" i="15"/>
  <c r="L44" i="15" s="1"/>
  <c r="L236" i="15"/>
  <c r="P361" i="15"/>
  <c r="J332" i="15"/>
  <c r="K332" i="15" s="1"/>
  <c r="K344" i="15"/>
  <c r="L243" i="15"/>
  <c r="O243" i="15" s="1"/>
  <c r="I92" i="15"/>
  <c r="K92" i="15" s="1"/>
  <c r="L74" i="15"/>
  <c r="L72" i="15" s="1"/>
  <c r="O72" i="15" s="1"/>
  <c r="P271" i="15"/>
  <c r="M163" i="15"/>
  <c r="P163" i="15" s="1"/>
  <c r="L160" i="15"/>
  <c r="O160" i="15" s="1"/>
  <c r="K368" i="15"/>
  <c r="L203" i="15"/>
  <c r="O203" i="15" s="1"/>
  <c r="L78" i="15"/>
  <c r="O78" i="15" s="1"/>
  <c r="M61" i="15"/>
  <c r="M59" i="15" s="1"/>
  <c r="L284" i="15"/>
  <c r="O284" i="15" s="1"/>
  <c r="I82" i="15"/>
  <c r="I70" i="15" s="1"/>
  <c r="K70" i="15" s="1"/>
  <c r="O364" i="15"/>
  <c r="O361" i="15"/>
  <c r="M309" i="15"/>
  <c r="P309" i="15" s="1"/>
  <c r="K292" i="15"/>
  <c r="M272" i="15"/>
  <c r="P272" i="15" s="1"/>
  <c r="J231" i="15"/>
  <c r="J185" i="15" s="1"/>
  <c r="K209" i="15"/>
  <c r="K183" i="15"/>
  <c r="L141" i="15"/>
  <c r="O141" i="15" s="1"/>
  <c r="N127" i="15"/>
  <c r="N125" i="15" s="1"/>
  <c r="K109" i="15"/>
  <c r="M100" i="15"/>
  <c r="P100" i="15" s="1"/>
  <c r="O22" i="15"/>
  <c r="J343" i="15"/>
  <c r="L222" i="15"/>
  <c r="O222" i="15" s="1"/>
  <c r="M188" i="15"/>
  <c r="M186" i="15" s="1"/>
  <c r="I83" i="15"/>
  <c r="I71" i="15" s="1"/>
  <c r="K71" i="15" s="1"/>
  <c r="L335" i="15"/>
  <c r="L333" i="15" s="1"/>
  <c r="K330" i="15"/>
  <c r="N322" i="15"/>
  <c r="N320" i="15" s="1"/>
  <c r="K314" i="15"/>
  <c r="P308" i="15"/>
  <c r="M305" i="15"/>
  <c r="O290" i="15"/>
  <c r="K221" i="15"/>
  <c r="L214" i="15"/>
  <c r="O214" i="15" s="1"/>
  <c r="L188" i="15"/>
  <c r="L186" i="15" s="1"/>
  <c r="L176" i="15"/>
  <c r="O176" i="15" s="1"/>
  <c r="L127" i="15"/>
  <c r="O127" i="15" s="1"/>
  <c r="O99" i="15"/>
  <c r="O77" i="15"/>
  <c r="L65" i="15"/>
  <c r="O65" i="15" s="1"/>
  <c r="M62" i="15"/>
  <c r="P62" i="15" s="1"/>
  <c r="O338" i="15"/>
  <c r="N284" i="15"/>
  <c r="N282" i="15" s="1"/>
  <c r="L234" i="15"/>
  <c r="K241" i="15"/>
  <c r="I240" i="15"/>
  <c r="K240" i="15" s="1"/>
  <c r="P178" i="15"/>
  <c r="N74" i="15"/>
  <c r="N72" i="15" s="1"/>
  <c r="L75" i="15"/>
  <c r="O75" i="15" s="1"/>
  <c r="L47" i="15"/>
  <c r="O47" i="15" s="1"/>
  <c r="N19" i="15"/>
  <c r="N379" i="15"/>
  <c r="N377" i="15" s="1"/>
  <c r="M284" i="15"/>
  <c r="P284" i="15" s="1"/>
  <c r="N141" i="15"/>
  <c r="N139" i="15" s="1"/>
  <c r="M96" i="15"/>
  <c r="K365" i="15"/>
  <c r="N335" i="15"/>
  <c r="L142" i="15"/>
  <c r="O142" i="15" s="1"/>
  <c r="O64" i="15"/>
  <c r="L23" i="15"/>
  <c r="M383" i="15"/>
  <c r="P383" i="15" s="1"/>
  <c r="M380" i="15"/>
  <c r="P380" i="15" s="1"/>
  <c r="L379" i="15"/>
  <c r="O379" i="15" s="1"/>
  <c r="N359" i="15"/>
  <c r="O359" i="15" s="1"/>
  <c r="M358" i="15"/>
  <c r="M335" i="15"/>
  <c r="N336" i="15"/>
  <c r="O336" i="15" s="1"/>
  <c r="L326" i="15"/>
  <c r="O326" i="15" s="1"/>
  <c r="M288" i="15"/>
  <c r="P288" i="15" s="1"/>
  <c r="L285" i="15"/>
  <c r="O285" i="15" s="1"/>
  <c r="L189" i="15"/>
  <c r="O189" i="15" s="1"/>
  <c r="L179" i="15"/>
  <c r="O179" i="15" s="1"/>
  <c r="L163" i="15"/>
  <c r="O163" i="15" s="1"/>
  <c r="K152" i="15"/>
  <c r="I137" i="15"/>
  <c r="K137" i="15" s="1"/>
  <c r="M145" i="15"/>
  <c r="P145" i="15" s="1"/>
  <c r="O140" i="15"/>
  <c r="I138" i="15"/>
  <c r="K138" i="15" s="1"/>
  <c r="L128" i="15"/>
  <c r="O128" i="15" s="1"/>
  <c r="N61" i="15"/>
  <c r="N26" i="15"/>
  <c r="N24" i="15" s="1"/>
  <c r="N50" i="15"/>
  <c r="P19" i="15"/>
  <c r="M285" i="15"/>
  <c r="P285" i="15" s="1"/>
  <c r="N335" i="14"/>
  <c r="N333" i="14" s="1"/>
  <c r="L383" i="15"/>
  <c r="O383" i="15" s="1"/>
  <c r="L380" i="15"/>
  <c r="O380" i="15" s="1"/>
  <c r="M362" i="15"/>
  <c r="P362" i="15" s="1"/>
  <c r="M359" i="15"/>
  <c r="L358" i="15"/>
  <c r="M339" i="15"/>
  <c r="P339" i="15" s="1"/>
  <c r="M336" i="15"/>
  <c r="P325" i="15"/>
  <c r="M322" i="15"/>
  <c r="P322" i="15" s="1"/>
  <c r="N306" i="15"/>
  <c r="O306" i="15" s="1"/>
  <c r="L305" i="15"/>
  <c r="O271" i="15"/>
  <c r="N268" i="15"/>
  <c r="N266" i="15" s="1"/>
  <c r="I242" i="15"/>
  <c r="L235" i="15"/>
  <c r="N175" i="15"/>
  <c r="N173" i="15" s="1"/>
  <c r="N159" i="15"/>
  <c r="N157" i="15" s="1"/>
  <c r="M141" i="15"/>
  <c r="M131" i="15"/>
  <c r="P131" i="15" s="1"/>
  <c r="O126" i="15"/>
  <c r="M75" i="15"/>
  <c r="P75" i="15" s="1"/>
  <c r="P77" i="15"/>
  <c r="N75" i="15"/>
  <c r="L61" i="15"/>
  <c r="M50" i="15"/>
  <c r="P50" i="15" s="1"/>
  <c r="P52" i="15"/>
  <c r="M379" i="15"/>
  <c r="O378" i="15"/>
  <c r="P357" i="15"/>
  <c r="L322" i="15"/>
  <c r="O304" i="15"/>
  <c r="P287" i="15"/>
  <c r="O274" i="15"/>
  <c r="M268" i="15"/>
  <c r="P268" i="15" s="1"/>
  <c r="K249" i="15"/>
  <c r="K198" i="15"/>
  <c r="P191" i="15"/>
  <c r="O181" i="15"/>
  <c r="M175" i="15"/>
  <c r="O165" i="15"/>
  <c r="M159" i="15"/>
  <c r="P159" i="15" s="1"/>
  <c r="I156" i="15"/>
  <c r="K156" i="15" s="1"/>
  <c r="O144" i="15"/>
  <c r="M127" i="15"/>
  <c r="P64" i="15"/>
  <c r="P60" i="15"/>
  <c r="L26" i="15"/>
  <c r="O26" i="15" s="1"/>
  <c r="N46" i="15"/>
  <c r="N44" i="15" s="1"/>
  <c r="O25" i="15"/>
  <c r="M326" i="15"/>
  <c r="P326" i="15" s="1"/>
  <c r="M128" i="15"/>
  <c r="P128" i="15" s="1"/>
  <c r="P308" i="14"/>
  <c r="K293" i="14"/>
  <c r="O77" i="14"/>
  <c r="P338" i="15"/>
  <c r="P321" i="15"/>
  <c r="O287" i="15"/>
  <c r="L268" i="15"/>
  <c r="O191" i="15"/>
  <c r="N188" i="15"/>
  <c r="N186" i="15" s="1"/>
  <c r="O130" i="15"/>
  <c r="N96" i="15"/>
  <c r="N94" i="15" s="1"/>
  <c r="M78" i="15"/>
  <c r="P78" i="15" s="1"/>
  <c r="P80" i="15"/>
  <c r="M47" i="15"/>
  <c r="P47" i="15" s="1"/>
  <c r="M23" i="15"/>
  <c r="P49" i="15"/>
  <c r="M46" i="15"/>
  <c r="N358" i="15"/>
  <c r="N356" i="15" s="1"/>
  <c r="L323" i="15"/>
  <c r="O323" i="15" s="1"/>
  <c r="K293" i="15"/>
  <c r="L254" i="15"/>
  <c r="O254" i="15" s="1"/>
  <c r="K230" i="15"/>
  <c r="M176" i="15"/>
  <c r="P176" i="15" s="1"/>
  <c r="P174" i="15"/>
  <c r="M160" i="15"/>
  <c r="P160" i="15" s="1"/>
  <c r="P158" i="15"/>
  <c r="M142" i="15"/>
  <c r="P142" i="15" s="1"/>
  <c r="I136" i="15"/>
  <c r="K136" i="15" s="1"/>
  <c r="L96" i="15"/>
  <c r="L62" i="15"/>
  <c r="O62" i="15" s="1"/>
  <c r="M26" i="15"/>
  <c r="O19" i="15"/>
  <c r="O45" i="15"/>
  <c r="O49" i="15"/>
  <c r="N23" i="15"/>
  <c r="P22" i="15"/>
  <c r="O385" i="14"/>
  <c r="P382" i="14"/>
  <c r="P364" i="14"/>
  <c r="O308" i="14"/>
  <c r="O271" i="14"/>
  <c r="N268" i="14"/>
  <c r="N266" i="14" s="1"/>
  <c r="M159" i="14"/>
  <c r="P159" i="14" s="1"/>
  <c r="K221" i="14"/>
  <c r="O147" i="14"/>
  <c r="N141" i="14"/>
  <c r="N139" i="14" s="1"/>
  <c r="L141" i="14"/>
  <c r="L139" i="14" s="1"/>
  <c r="O130" i="14"/>
  <c r="K108" i="14"/>
  <c r="N61" i="14"/>
  <c r="N59" i="14" s="1"/>
  <c r="K330" i="14"/>
  <c r="M78" i="14"/>
  <c r="P78" i="14" s="1"/>
  <c r="J351" i="14"/>
  <c r="L203" i="14"/>
  <c r="O203" i="14" s="1"/>
  <c r="O160" i="14"/>
  <c r="M46" i="14"/>
  <c r="M44" i="14" s="1"/>
  <c r="M284" i="14"/>
  <c r="P284" i="14" s="1"/>
  <c r="O64" i="14"/>
  <c r="K369" i="14"/>
  <c r="O364" i="14"/>
  <c r="P325" i="14"/>
  <c r="L243" i="14"/>
  <c r="M127" i="14"/>
  <c r="P127" i="14" s="1"/>
  <c r="P102" i="14"/>
  <c r="O147" i="13"/>
  <c r="L142" i="13"/>
  <c r="O142" i="13" s="1"/>
  <c r="N358" i="14"/>
  <c r="N356" i="14" s="1"/>
  <c r="O325" i="14"/>
  <c r="M268" i="14"/>
  <c r="P268" i="14" s="1"/>
  <c r="O181" i="14"/>
  <c r="P99" i="14"/>
  <c r="K368" i="14"/>
  <c r="O287" i="14"/>
  <c r="M188" i="14"/>
  <c r="M186" i="14" s="1"/>
  <c r="M175" i="14"/>
  <c r="M173" i="14" s="1"/>
  <c r="N96" i="14"/>
  <c r="N94" i="14" s="1"/>
  <c r="J231" i="14"/>
  <c r="J185" i="14" s="1"/>
  <c r="P287" i="13"/>
  <c r="K251" i="13"/>
  <c r="P162" i="13"/>
  <c r="O382" i="14"/>
  <c r="P361" i="14"/>
  <c r="N322" i="14"/>
  <c r="N320" i="14" s="1"/>
  <c r="M322" i="14"/>
  <c r="P322" i="14" s="1"/>
  <c r="P311" i="14"/>
  <c r="M305" i="14"/>
  <c r="P305" i="14" s="1"/>
  <c r="L305" i="14"/>
  <c r="O305" i="14" s="1"/>
  <c r="L268" i="14"/>
  <c r="O268" i="14" s="1"/>
  <c r="L254" i="14"/>
  <c r="O254" i="14" s="1"/>
  <c r="I253" i="14"/>
  <c r="K253" i="14" s="1"/>
  <c r="I242" i="14"/>
  <c r="I238" i="14"/>
  <c r="K238" i="14" s="1"/>
  <c r="L222" i="14"/>
  <c r="O222" i="14" s="1"/>
  <c r="K220" i="14"/>
  <c r="L214" i="14"/>
  <c r="O214" i="14" s="1"/>
  <c r="I202" i="14"/>
  <c r="K202" i="14" s="1"/>
  <c r="L175" i="14"/>
  <c r="L173" i="14" s="1"/>
  <c r="O165" i="14"/>
  <c r="L159" i="14"/>
  <c r="N159" i="14"/>
  <c r="N157" i="14" s="1"/>
  <c r="P144" i="14"/>
  <c r="M96" i="14"/>
  <c r="M94" i="14" s="1"/>
  <c r="P94" i="14" s="1"/>
  <c r="M74" i="14"/>
  <c r="P74" i="14" s="1"/>
  <c r="P67" i="14"/>
  <c r="O52" i="14"/>
  <c r="L46" i="14"/>
  <c r="L44" i="14" s="1"/>
  <c r="K330" i="13"/>
  <c r="O361" i="14"/>
  <c r="N359" i="14"/>
  <c r="P359" i="14" s="1"/>
  <c r="P341" i="14"/>
  <c r="O311" i="14"/>
  <c r="K292" i="14"/>
  <c r="P274" i="14"/>
  <c r="I195" i="14"/>
  <c r="K195" i="14" s="1"/>
  <c r="M179" i="14"/>
  <c r="P179" i="14" s="1"/>
  <c r="M163" i="14"/>
  <c r="P163" i="14" s="1"/>
  <c r="O80" i="14"/>
  <c r="L74" i="14"/>
  <c r="L72" i="14" s="1"/>
  <c r="O72" i="14" s="1"/>
  <c r="M50" i="14"/>
  <c r="P50" i="14" s="1"/>
  <c r="P385" i="14"/>
  <c r="M379" i="14"/>
  <c r="P379" i="14" s="1"/>
  <c r="O341" i="14"/>
  <c r="M288" i="14"/>
  <c r="P288" i="14" s="1"/>
  <c r="P271" i="14"/>
  <c r="L233" i="14"/>
  <c r="P194" i="14"/>
  <c r="I156" i="14"/>
  <c r="K156" i="14" s="1"/>
  <c r="O133" i="14"/>
  <c r="M61" i="14"/>
  <c r="P338" i="14"/>
  <c r="M335" i="14"/>
  <c r="L192" i="14"/>
  <c r="O192" i="14" s="1"/>
  <c r="M189" i="14"/>
  <c r="O178" i="14"/>
  <c r="M176" i="14"/>
  <c r="P176" i="14" s="1"/>
  <c r="O162" i="14"/>
  <c r="O49" i="14"/>
  <c r="M47" i="14"/>
  <c r="P47" i="14" s="1"/>
  <c r="M19" i="14"/>
  <c r="P19" i="14" s="1"/>
  <c r="L284" i="14"/>
  <c r="O284" i="14" s="1"/>
  <c r="L335" i="14"/>
  <c r="K314" i="14"/>
  <c r="M285" i="14"/>
  <c r="P285" i="14" s="1"/>
  <c r="M269" i="14"/>
  <c r="P269" i="14" s="1"/>
  <c r="O176" i="14"/>
  <c r="M160" i="14"/>
  <c r="P160" i="14" s="1"/>
  <c r="K153" i="14"/>
  <c r="N142" i="14"/>
  <c r="O142" i="14" s="1"/>
  <c r="N127" i="14"/>
  <c r="N125" i="14" s="1"/>
  <c r="N97" i="14"/>
  <c r="K365" i="14"/>
  <c r="L175" i="12"/>
  <c r="L173" i="12" s="1"/>
  <c r="P97" i="12"/>
  <c r="N379" i="14"/>
  <c r="N377" i="14" s="1"/>
  <c r="N336" i="14"/>
  <c r="P336" i="14" s="1"/>
  <c r="L322" i="14"/>
  <c r="O322" i="14" s="1"/>
  <c r="L235" i="14"/>
  <c r="P191" i="14"/>
  <c r="N189" i="14"/>
  <c r="O189" i="14" s="1"/>
  <c r="K152" i="14"/>
  <c r="I137" i="14"/>
  <c r="K137" i="14" s="1"/>
  <c r="M145" i="14"/>
  <c r="P145" i="14" s="1"/>
  <c r="I82" i="14"/>
  <c r="N26" i="14"/>
  <c r="N24" i="14" s="1"/>
  <c r="L234" i="12"/>
  <c r="J351" i="13"/>
  <c r="I302" i="13"/>
  <c r="K302" i="13" s="1"/>
  <c r="O287" i="13"/>
  <c r="K371" i="14"/>
  <c r="K344" i="14"/>
  <c r="P328" i="14"/>
  <c r="O290" i="14"/>
  <c r="O274" i="14"/>
  <c r="N175" i="14"/>
  <c r="K167" i="14"/>
  <c r="I168" i="14"/>
  <c r="K168" i="14" s="1"/>
  <c r="O144" i="14"/>
  <c r="O102" i="14"/>
  <c r="L100" i="14"/>
  <c r="O100" i="14" s="1"/>
  <c r="L379" i="14"/>
  <c r="M358" i="14"/>
  <c r="J332" i="14"/>
  <c r="K332" i="14" s="1"/>
  <c r="O338" i="14"/>
  <c r="L336" i="14"/>
  <c r="O334" i="14"/>
  <c r="O328" i="14"/>
  <c r="O191" i="14"/>
  <c r="N188" i="14"/>
  <c r="N186" i="14" s="1"/>
  <c r="P133" i="14"/>
  <c r="M131" i="14"/>
  <c r="P131" i="14" s="1"/>
  <c r="P60" i="14"/>
  <c r="L26" i="14"/>
  <c r="O26" i="14" s="1"/>
  <c r="O25" i="14"/>
  <c r="O364" i="13"/>
  <c r="L358" i="14"/>
  <c r="L236" i="14"/>
  <c r="L188" i="14"/>
  <c r="N173" i="14"/>
  <c r="I136" i="14"/>
  <c r="K136" i="14" s="1"/>
  <c r="K154" i="14"/>
  <c r="M142" i="14"/>
  <c r="O126" i="14"/>
  <c r="O99" i="14"/>
  <c r="L97" i="14"/>
  <c r="O97" i="14" s="1"/>
  <c r="L96" i="14"/>
  <c r="O96" i="14" s="1"/>
  <c r="O47" i="14"/>
  <c r="K87" i="14"/>
  <c r="I83" i="14"/>
  <c r="K371" i="13"/>
  <c r="J343" i="14"/>
  <c r="N305" i="14"/>
  <c r="N303" i="14" s="1"/>
  <c r="N284" i="14"/>
  <c r="N282" i="14" s="1"/>
  <c r="I172" i="14"/>
  <c r="K172" i="14" s="1"/>
  <c r="O140" i="14"/>
  <c r="P130" i="14"/>
  <c r="M23" i="14"/>
  <c r="M128" i="14"/>
  <c r="P128" i="14" s="1"/>
  <c r="P64" i="14"/>
  <c r="N62" i="14"/>
  <c r="P62" i="14" s="1"/>
  <c r="M26" i="14"/>
  <c r="P26" i="14" s="1"/>
  <c r="L19" i="14"/>
  <c r="P287" i="14"/>
  <c r="P178" i="14"/>
  <c r="P162" i="14"/>
  <c r="I93" i="14"/>
  <c r="K93" i="14" s="1"/>
  <c r="P77" i="14"/>
  <c r="P49" i="14"/>
  <c r="L61" i="14"/>
  <c r="N23" i="14"/>
  <c r="L127" i="14"/>
  <c r="O127" i="14" s="1"/>
  <c r="N74" i="14"/>
  <c r="N72" i="14" s="1"/>
  <c r="L65" i="14"/>
  <c r="O65" i="14" s="1"/>
  <c r="L62" i="14"/>
  <c r="N46" i="14"/>
  <c r="N44" i="14" s="1"/>
  <c r="K229" i="14"/>
  <c r="N50" i="14"/>
  <c r="L23" i="14"/>
  <c r="P22" i="14"/>
  <c r="L159" i="12"/>
  <c r="L157" i="12" s="1"/>
  <c r="O157" i="12" s="1"/>
  <c r="I213" i="13"/>
  <c r="K213" i="13" s="1"/>
  <c r="K109" i="13"/>
  <c r="L74" i="13"/>
  <c r="O74" i="13" s="1"/>
  <c r="P328" i="13"/>
  <c r="P271" i="13"/>
  <c r="I137" i="13"/>
  <c r="K137" i="13" s="1"/>
  <c r="N335" i="13"/>
  <c r="N333" i="13" s="1"/>
  <c r="K209" i="13"/>
  <c r="P361" i="13"/>
  <c r="L309" i="13"/>
  <c r="O309" i="13" s="1"/>
  <c r="O178" i="13"/>
  <c r="O133" i="13"/>
  <c r="L26" i="13"/>
  <c r="O26" i="13" s="1"/>
  <c r="L46" i="13"/>
  <c r="L44" i="13" s="1"/>
  <c r="M96" i="13"/>
  <c r="P96" i="13" s="1"/>
  <c r="L254" i="13"/>
  <c r="O254" i="13" s="1"/>
  <c r="P181" i="13"/>
  <c r="O160" i="13"/>
  <c r="L128" i="13"/>
  <c r="O128" i="13" s="1"/>
  <c r="M61" i="13"/>
  <c r="M59" i="13" s="1"/>
  <c r="M322" i="13"/>
  <c r="K195" i="13"/>
  <c r="P191" i="13"/>
  <c r="O181" i="13"/>
  <c r="K108" i="13"/>
  <c r="P52" i="13"/>
  <c r="O306" i="13"/>
  <c r="M272" i="13"/>
  <c r="P272" i="13" s="1"/>
  <c r="L176" i="13"/>
  <c r="O176" i="13" s="1"/>
  <c r="L100" i="13"/>
  <c r="O100" i="13" s="1"/>
  <c r="P80" i="13"/>
  <c r="O52" i="13"/>
  <c r="L50" i="13"/>
  <c r="O50" i="13" s="1"/>
  <c r="K346" i="13"/>
  <c r="K229" i="13"/>
  <c r="O162" i="13"/>
  <c r="N232" i="13"/>
  <c r="O364" i="12"/>
  <c r="M335" i="13"/>
  <c r="P325" i="13"/>
  <c r="M305" i="13"/>
  <c r="M303" i="13" s="1"/>
  <c r="I281" i="13"/>
  <c r="K281" i="13" s="1"/>
  <c r="M268" i="13"/>
  <c r="P268" i="13" s="1"/>
  <c r="I253" i="13"/>
  <c r="K253" i="13" s="1"/>
  <c r="L243" i="13"/>
  <c r="L214" i="13"/>
  <c r="O214" i="13" s="1"/>
  <c r="L203" i="13"/>
  <c r="O203" i="13" s="1"/>
  <c r="N159" i="13"/>
  <c r="N157" i="13" s="1"/>
  <c r="P102" i="13"/>
  <c r="O80" i="13"/>
  <c r="P49" i="13"/>
  <c r="M74" i="12"/>
  <c r="P74" i="12" s="1"/>
  <c r="N284" i="13"/>
  <c r="N282" i="13" s="1"/>
  <c r="N268" i="13"/>
  <c r="N266" i="13" s="1"/>
  <c r="N188" i="13"/>
  <c r="N186" i="13" s="1"/>
  <c r="O341" i="12"/>
  <c r="N379" i="13"/>
  <c r="N377" i="13" s="1"/>
  <c r="O325" i="13"/>
  <c r="P290" i="13"/>
  <c r="L284" i="13"/>
  <c r="O284" i="13" s="1"/>
  <c r="I280" i="13"/>
  <c r="K280" i="13" s="1"/>
  <c r="L234" i="13"/>
  <c r="N175" i="13"/>
  <c r="N173" i="13" s="1"/>
  <c r="M159" i="13"/>
  <c r="P159" i="13" s="1"/>
  <c r="P77" i="13"/>
  <c r="N61" i="13"/>
  <c r="N59" i="13" s="1"/>
  <c r="O49" i="13"/>
  <c r="L47" i="13"/>
  <c r="O47" i="13" s="1"/>
  <c r="N60" i="1"/>
  <c r="M379" i="13"/>
  <c r="M377" i="13" s="1"/>
  <c r="P377" i="13" s="1"/>
  <c r="O290" i="13"/>
  <c r="L233" i="13"/>
  <c r="O165" i="13"/>
  <c r="L159" i="13"/>
  <c r="L157" i="13" s="1"/>
  <c r="O77" i="13"/>
  <c r="L75" i="13"/>
  <c r="O75" i="13" s="1"/>
  <c r="M19" i="13"/>
  <c r="P19" i="13" s="1"/>
  <c r="K260" i="11"/>
  <c r="K371" i="12"/>
  <c r="L335" i="12"/>
  <c r="L333" i="12" s="1"/>
  <c r="O361" i="13"/>
  <c r="K344" i="13"/>
  <c r="M309" i="13"/>
  <c r="P309" i="13" s="1"/>
  <c r="L272" i="13"/>
  <c r="O272" i="13" s="1"/>
  <c r="L222" i="13"/>
  <c r="O222" i="13" s="1"/>
  <c r="K202" i="13"/>
  <c r="L175" i="13"/>
  <c r="L173" i="13" s="1"/>
  <c r="K154" i="13"/>
  <c r="L141" i="13"/>
  <c r="L139" i="13" s="1"/>
  <c r="O139" i="13" s="1"/>
  <c r="L127" i="13"/>
  <c r="O127" i="13" s="1"/>
  <c r="P99" i="13"/>
  <c r="M97" i="13"/>
  <c r="P97" i="13" s="1"/>
  <c r="O64" i="13"/>
  <c r="K369" i="12"/>
  <c r="P361" i="12"/>
  <c r="L74" i="12"/>
  <c r="O74" i="12" s="1"/>
  <c r="M383" i="13"/>
  <c r="P383" i="13" s="1"/>
  <c r="M380" i="13"/>
  <c r="P380" i="13" s="1"/>
  <c r="L379" i="13"/>
  <c r="O379" i="13" s="1"/>
  <c r="N359" i="13"/>
  <c r="O359" i="13" s="1"/>
  <c r="M358" i="13"/>
  <c r="M356" i="13" s="1"/>
  <c r="J332" i="13"/>
  <c r="K332" i="13" s="1"/>
  <c r="N336" i="13"/>
  <c r="P306" i="13"/>
  <c r="L268" i="13"/>
  <c r="L235" i="13"/>
  <c r="N189" i="13"/>
  <c r="P189" i="13" s="1"/>
  <c r="P187" i="13"/>
  <c r="I172" i="13"/>
  <c r="K172" i="13" s="1"/>
  <c r="N141" i="13"/>
  <c r="N139" i="13" s="1"/>
  <c r="L383" i="13"/>
  <c r="O383" i="13" s="1"/>
  <c r="L380" i="13"/>
  <c r="O380" i="13" s="1"/>
  <c r="M362" i="13"/>
  <c r="P362" i="13" s="1"/>
  <c r="M359" i="13"/>
  <c r="L358" i="13"/>
  <c r="M339" i="13"/>
  <c r="P339" i="13" s="1"/>
  <c r="L336" i="13"/>
  <c r="L335" i="13"/>
  <c r="M336" i="13"/>
  <c r="P334" i="13"/>
  <c r="P176" i="13"/>
  <c r="P67" i="13"/>
  <c r="M65" i="13"/>
  <c r="P65" i="13" s="1"/>
  <c r="N62" i="13"/>
  <c r="P47" i="13"/>
  <c r="N358" i="13"/>
  <c r="N356" i="13" s="1"/>
  <c r="P382" i="13"/>
  <c r="O378" i="13"/>
  <c r="P357" i="13"/>
  <c r="J343" i="13"/>
  <c r="L339" i="13"/>
  <c r="O339" i="13" s="1"/>
  <c r="O308" i="13"/>
  <c r="N305" i="13"/>
  <c r="O191" i="13"/>
  <c r="M175" i="13"/>
  <c r="P64" i="13"/>
  <c r="M62" i="13"/>
  <c r="O80" i="12"/>
  <c r="P338" i="13"/>
  <c r="O328" i="13"/>
  <c r="L305" i="13"/>
  <c r="I242" i="13"/>
  <c r="K249" i="13"/>
  <c r="I238" i="13"/>
  <c r="K238" i="13" s="1"/>
  <c r="K221" i="13"/>
  <c r="P194" i="13"/>
  <c r="M188" i="13"/>
  <c r="M186" i="13" s="1"/>
  <c r="K167" i="13"/>
  <c r="I169" i="13"/>
  <c r="K169" i="13" s="1"/>
  <c r="I156" i="13"/>
  <c r="K156" i="13" s="1"/>
  <c r="I138" i="13"/>
  <c r="K138" i="13" s="1"/>
  <c r="N127" i="13"/>
  <c r="N125" i="13" s="1"/>
  <c r="L97" i="13"/>
  <c r="O97" i="13" s="1"/>
  <c r="I82" i="13"/>
  <c r="O25" i="13"/>
  <c r="L19" i="13"/>
  <c r="P60" i="13"/>
  <c r="M305" i="12"/>
  <c r="M303" i="12" s="1"/>
  <c r="P189" i="12"/>
  <c r="O338" i="13"/>
  <c r="L322" i="13"/>
  <c r="P304" i="13"/>
  <c r="L269" i="13"/>
  <c r="O269" i="13" s="1"/>
  <c r="L236" i="13"/>
  <c r="I241" i="13"/>
  <c r="K241" i="13" s="1"/>
  <c r="P178" i="13"/>
  <c r="O174" i="13"/>
  <c r="P165" i="13"/>
  <c r="L96" i="13"/>
  <c r="O96" i="13" s="1"/>
  <c r="I83" i="13"/>
  <c r="N26" i="13"/>
  <c r="N24" i="13" s="1"/>
  <c r="M26" i="13"/>
  <c r="N322" i="13"/>
  <c r="N320" i="13" s="1"/>
  <c r="P308" i="13"/>
  <c r="M284" i="13"/>
  <c r="K230" i="13"/>
  <c r="K198" i="13"/>
  <c r="L188" i="13"/>
  <c r="M141" i="13"/>
  <c r="M127" i="13"/>
  <c r="P127" i="13" s="1"/>
  <c r="L61" i="13"/>
  <c r="N23" i="13"/>
  <c r="L192" i="13"/>
  <c r="O192" i="13" s="1"/>
  <c r="L189" i="13"/>
  <c r="M145" i="13"/>
  <c r="P145" i="13" s="1"/>
  <c r="M142" i="13"/>
  <c r="P142" i="13" s="1"/>
  <c r="M131" i="13"/>
  <c r="P131" i="13" s="1"/>
  <c r="M128" i="13"/>
  <c r="P128" i="13" s="1"/>
  <c r="K85" i="13"/>
  <c r="N74" i="13"/>
  <c r="N72" i="13" s="1"/>
  <c r="L65" i="13"/>
  <c r="O65" i="13" s="1"/>
  <c r="L62" i="13"/>
  <c r="N46" i="13"/>
  <c r="N44" i="13" s="1"/>
  <c r="M23" i="13"/>
  <c r="N96" i="13"/>
  <c r="N94" i="13" s="1"/>
  <c r="M74" i="13"/>
  <c r="N50" i="13"/>
  <c r="M46" i="13"/>
  <c r="L23" i="13"/>
  <c r="P22" i="13"/>
  <c r="L235" i="12"/>
  <c r="M141" i="12"/>
  <c r="M139" i="12" s="1"/>
  <c r="O77" i="12"/>
  <c r="O52" i="12"/>
  <c r="K368" i="12"/>
  <c r="O178" i="12"/>
  <c r="O308" i="12"/>
  <c r="I172" i="12"/>
  <c r="K172" i="12" s="1"/>
  <c r="L233" i="11"/>
  <c r="K344" i="12"/>
  <c r="L188" i="12"/>
  <c r="L186" i="12" s="1"/>
  <c r="L236" i="12"/>
  <c r="I202" i="12"/>
  <c r="K202" i="12" s="1"/>
  <c r="P194" i="12"/>
  <c r="N141" i="12"/>
  <c r="N139" i="12" s="1"/>
  <c r="I136" i="12"/>
  <c r="K136" i="12" s="1"/>
  <c r="P130" i="12"/>
  <c r="J351" i="12"/>
  <c r="L233" i="12"/>
  <c r="K229" i="12"/>
  <c r="O194" i="12"/>
  <c r="K152" i="12"/>
  <c r="O130" i="12"/>
  <c r="I365" i="12"/>
  <c r="K365" i="12" s="1"/>
  <c r="K314" i="12"/>
  <c r="P271" i="12"/>
  <c r="L203" i="12"/>
  <c r="O203" i="12" s="1"/>
  <c r="P191" i="12"/>
  <c r="P102" i="12"/>
  <c r="L46" i="12"/>
  <c r="L44" i="12" s="1"/>
  <c r="M306" i="12"/>
  <c r="N268" i="12"/>
  <c r="N266" i="12" s="1"/>
  <c r="K346" i="12"/>
  <c r="L336" i="12"/>
  <c r="I332" i="12"/>
  <c r="N322" i="12"/>
  <c r="N320" i="12" s="1"/>
  <c r="K302" i="12"/>
  <c r="P308" i="12"/>
  <c r="N305" i="12"/>
  <c r="N303" i="12" s="1"/>
  <c r="O290" i="12"/>
  <c r="K252" i="12"/>
  <c r="L222" i="12"/>
  <c r="O222" i="12" s="1"/>
  <c r="M163" i="12"/>
  <c r="P163" i="12" s="1"/>
  <c r="L141" i="12"/>
  <c r="N127" i="12"/>
  <c r="N125" i="12" s="1"/>
  <c r="M127" i="12"/>
  <c r="M125" i="12" s="1"/>
  <c r="P125" i="12" s="1"/>
  <c r="O102" i="12"/>
  <c r="N74" i="12"/>
  <c r="N72" i="12" s="1"/>
  <c r="L75" i="12"/>
  <c r="O75" i="12" s="1"/>
  <c r="M61" i="12"/>
  <c r="M59" i="12" s="1"/>
  <c r="P47" i="12"/>
  <c r="N269" i="12"/>
  <c r="O361" i="12"/>
  <c r="O338" i="12"/>
  <c r="P311" i="12"/>
  <c r="N284" i="12"/>
  <c r="N282" i="12" s="1"/>
  <c r="K221" i="12"/>
  <c r="L214" i="12"/>
  <c r="O214" i="12" s="1"/>
  <c r="M188" i="12"/>
  <c r="M186" i="12" s="1"/>
  <c r="M179" i="12"/>
  <c r="P179" i="12" s="1"/>
  <c r="N159" i="12"/>
  <c r="N157" i="12" s="1"/>
  <c r="L160" i="12"/>
  <c r="O160" i="12" s="1"/>
  <c r="P147" i="12"/>
  <c r="O64" i="12"/>
  <c r="N379" i="12"/>
  <c r="N377" i="12" s="1"/>
  <c r="O311" i="12"/>
  <c r="M284" i="12"/>
  <c r="M282" i="12" s="1"/>
  <c r="P282" i="12" s="1"/>
  <c r="I240" i="12"/>
  <c r="K240" i="12" s="1"/>
  <c r="N175" i="12"/>
  <c r="L176" i="12"/>
  <c r="O176" i="12" s="1"/>
  <c r="O147" i="12"/>
  <c r="O97" i="12"/>
  <c r="K92" i="12"/>
  <c r="I82" i="12"/>
  <c r="I70" i="12" s="1"/>
  <c r="K70" i="12" s="1"/>
  <c r="O338" i="11"/>
  <c r="I221" i="11"/>
  <c r="K221" i="11" s="1"/>
  <c r="L358" i="12"/>
  <c r="L356" i="12" s="1"/>
  <c r="J332" i="12"/>
  <c r="J343" i="12"/>
  <c r="L284" i="12"/>
  <c r="O284" i="12" s="1"/>
  <c r="M272" i="12"/>
  <c r="P272" i="12" s="1"/>
  <c r="K260" i="12"/>
  <c r="I238" i="12"/>
  <c r="K238" i="12" s="1"/>
  <c r="P178" i="12"/>
  <c r="P144" i="12"/>
  <c r="P133" i="12"/>
  <c r="K108" i="12"/>
  <c r="M96" i="12"/>
  <c r="M94" i="12" s="1"/>
  <c r="P67" i="12"/>
  <c r="M19" i="12"/>
  <c r="L243" i="12"/>
  <c r="O243" i="12" s="1"/>
  <c r="K220" i="12"/>
  <c r="O144" i="12"/>
  <c r="N142" i="12"/>
  <c r="O142" i="12" s="1"/>
  <c r="I83" i="12"/>
  <c r="I71" i="12" s="1"/>
  <c r="K71" i="12" s="1"/>
  <c r="P64" i="12"/>
  <c r="O47" i="12"/>
  <c r="M379" i="12"/>
  <c r="M285" i="12"/>
  <c r="P285" i="12" s="1"/>
  <c r="P60" i="12"/>
  <c r="K369" i="11"/>
  <c r="M383" i="12"/>
  <c r="P383" i="12" s="1"/>
  <c r="M380" i="12"/>
  <c r="P380" i="12" s="1"/>
  <c r="L379" i="12"/>
  <c r="O379" i="12" s="1"/>
  <c r="N359" i="12"/>
  <c r="O359" i="12" s="1"/>
  <c r="M358" i="12"/>
  <c r="M356" i="12" s="1"/>
  <c r="M335" i="12"/>
  <c r="N336" i="12"/>
  <c r="L326" i="12"/>
  <c r="O326" i="12" s="1"/>
  <c r="M288" i="12"/>
  <c r="P288" i="12" s="1"/>
  <c r="L285" i="12"/>
  <c r="O285" i="12" s="1"/>
  <c r="L189" i="12"/>
  <c r="O189" i="12" s="1"/>
  <c r="L179" i="12"/>
  <c r="O179" i="12" s="1"/>
  <c r="L163" i="12"/>
  <c r="O163" i="12" s="1"/>
  <c r="I138" i="12"/>
  <c r="K138" i="12" s="1"/>
  <c r="P19" i="12"/>
  <c r="M326" i="12"/>
  <c r="P326" i="12" s="1"/>
  <c r="M100" i="11"/>
  <c r="P100" i="11" s="1"/>
  <c r="L383" i="12"/>
  <c r="O383" i="12" s="1"/>
  <c r="L380" i="12"/>
  <c r="O380" i="12" s="1"/>
  <c r="M362" i="12"/>
  <c r="P362" i="12" s="1"/>
  <c r="M359" i="12"/>
  <c r="M339" i="12"/>
  <c r="P339" i="12" s="1"/>
  <c r="M336" i="12"/>
  <c r="K330" i="12"/>
  <c r="P325" i="12"/>
  <c r="M322" i="12"/>
  <c r="P322" i="12" s="1"/>
  <c r="N306" i="12"/>
  <c r="L305" i="12"/>
  <c r="K292" i="12"/>
  <c r="O271" i="12"/>
  <c r="I242" i="12"/>
  <c r="O133" i="12"/>
  <c r="L127" i="12"/>
  <c r="O127" i="12" s="1"/>
  <c r="K109" i="12"/>
  <c r="M75" i="12"/>
  <c r="P75" i="12" s="1"/>
  <c r="P77" i="12"/>
  <c r="N75" i="12"/>
  <c r="P62" i="12"/>
  <c r="O378" i="12"/>
  <c r="P357" i="12"/>
  <c r="L322" i="12"/>
  <c r="O304" i="12"/>
  <c r="P287" i="12"/>
  <c r="O274" i="12"/>
  <c r="M268" i="12"/>
  <c r="P268" i="12" s="1"/>
  <c r="K249" i="12"/>
  <c r="K198" i="12"/>
  <c r="O181" i="12"/>
  <c r="M175" i="12"/>
  <c r="O165" i="12"/>
  <c r="M159" i="12"/>
  <c r="P159" i="12" s="1"/>
  <c r="I156" i="12"/>
  <c r="K156" i="12" s="1"/>
  <c r="O140" i="12"/>
  <c r="N61" i="12"/>
  <c r="N59" i="12" s="1"/>
  <c r="O25" i="12"/>
  <c r="L234" i="10"/>
  <c r="P338" i="12"/>
  <c r="P321" i="12"/>
  <c r="O287" i="12"/>
  <c r="L268" i="12"/>
  <c r="O191" i="12"/>
  <c r="N188" i="12"/>
  <c r="N186" i="12" s="1"/>
  <c r="O126" i="12"/>
  <c r="P99" i="12"/>
  <c r="N96" i="12"/>
  <c r="N94" i="12" s="1"/>
  <c r="M78" i="12"/>
  <c r="P78" i="12" s="1"/>
  <c r="P80" i="12"/>
  <c r="N26" i="12"/>
  <c r="N24" i="12" s="1"/>
  <c r="N358" i="12"/>
  <c r="N356" i="12" s="1"/>
  <c r="N335" i="12"/>
  <c r="N333" i="12" s="1"/>
  <c r="L26" i="12"/>
  <c r="O26" i="12" s="1"/>
  <c r="K251" i="10"/>
  <c r="L323" i="12"/>
  <c r="O323" i="12" s="1"/>
  <c r="K293" i="12"/>
  <c r="L254" i="12"/>
  <c r="O254" i="12" s="1"/>
  <c r="K230" i="12"/>
  <c r="M176" i="12"/>
  <c r="P176" i="12" s="1"/>
  <c r="P174" i="12"/>
  <c r="M160" i="12"/>
  <c r="P160" i="12" s="1"/>
  <c r="P158" i="12"/>
  <c r="O99" i="12"/>
  <c r="L96" i="12"/>
  <c r="M26" i="12"/>
  <c r="L19" i="12"/>
  <c r="P52" i="12"/>
  <c r="P49" i="12"/>
  <c r="O45" i="12"/>
  <c r="L61" i="12"/>
  <c r="O49" i="12"/>
  <c r="N23" i="12"/>
  <c r="L65" i="12"/>
  <c r="O65" i="12" s="1"/>
  <c r="L62" i="12"/>
  <c r="O62" i="12" s="1"/>
  <c r="N46" i="12"/>
  <c r="M23" i="12"/>
  <c r="M46" i="12"/>
  <c r="L23" i="12"/>
  <c r="P22" i="12"/>
  <c r="O271" i="11"/>
  <c r="O130" i="11"/>
  <c r="P361" i="11"/>
  <c r="J351" i="11"/>
  <c r="L236" i="11"/>
  <c r="N74" i="11"/>
  <c r="N72" i="11" s="1"/>
  <c r="P311" i="11"/>
  <c r="L188" i="11"/>
  <c r="L186" i="11" s="1"/>
  <c r="N127" i="11"/>
  <c r="N125" i="11" s="1"/>
  <c r="M383" i="10"/>
  <c r="P383" i="10" s="1"/>
  <c r="J332" i="11"/>
  <c r="M322" i="11"/>
  <c r="P322" i="11" s="1"/>
  <c r="L309" i="11"/>
  <c r="O309" i="11" s="1"/>
  <c r="I238" i="11"/>
  <c r="K238" i="11" s="1"/>
  <c r="L141" i="11"/>
  <c r="O141" i="11" s="1"/>
  <c r="L65" i="11"/>
  <c r="O65" i="11" s="1"/>
  <c r="L46" i="11"/>
  <c r="L44" i="11" s="1"/>
  <c r="O194" i="10"/>
  <c r="K371" i="11"/>
  <c r="P359" i="11"/>
  <c r="K344" i="11"/>
  <c r="O308" i="11"/>
  <c r="P162" i="11"/>
  <c r="I156" i="11"/>
  <c r="K156" i="11" s="1"/>
  <c r="M127" i="11"/>
  <c r="P127" i="11" s="1"/>
  <c r="O361" i="11"/>
  <c r="M335" i="11"/>
  <c r="M333" i="11" s="1"/>
  <c r="N268" i="11"/>
  <c r="N266" i="11" s="1"/>
  <c r="P271" i="11"/>
  <c r="L214" i="11"/>
  <c r="O214" i="11" s="1"/>
  <c r="L179" i="11"/>
  <c r="O179" i="11" s="1"/>
  <c r="O160" i="11"/>
  <c r="K154" i="11"/>
  <c r="M141" i="11"/>
  <c r="P141" i="11" s="1"/>
  <c r="I195" i="11"/>
  <c r="K195" i="11" s="1"/>
  <c r="P147" i="11"/>
  <c r="P80" i="11"/>
  <c r="L61" i="11"/>
  <c r="L59" i="11" s="1"/>
  <c r="P52" i="11"/>
  <c r="M379" i="11"/>
  <c r="K346" i="11"/>
  <c r="L203" i="11"/>
  <c r="O203" i="11" s="1"/>
  <c r="K109" i="11"/>
  <c r="N46" i="11"/>
  <c r="N44" i="11" s="1"/>
  <c r="P385" i="11"/>
  <c r="N358" i="11"/>
  <c r="N356" i="11" s="1"/>
  <c r="J343" i="11"/>
  <c r="P341" i="11"/>
  <c r="K330" i="11"/>
  <c r="N322" i="11"/>
  <c r="N320" i="11" s="1"/>
  <c r="L305" i="11"/>
  <c r="P290" i="11"/>
  <c r="I280" i="11"/>
  <c r="K280" i="11" s="1"/>
  <c r="L254" i="11"/>
  <c r="O254" i="11" s="1"/>
  <c r="I213" i="11"/>
  <c r="K213" i="11" s="1"/>
  <c r="P194" i="11"/>
  <c r="P178" i="11"/>
  <c r="P133" i="11"/>
  <c r="L74" i="11"/>
  <c r="O74" i="11" s="1"/>
  <c r="L50" i="11"/>
  <c r="O50" i="11" s="1"/>
  <c r="O385" i="11"/>
  <c r="N379" i="11"/>
  <c r="N377" i="11" s="1"/>
  <c r="N380" i="11"/>
  <c r="M358" i="11"/>
  <c r="N305" i="11"/>
  <c r="N303" i="11" s="1"/>
  <c r="P274" i="11"/>
  <c r="O194" i="11"/>
  <c r="O176" i="11"/>
  <c r="N175" i="11"/>
  <c r="N173" i="11" s="1"/>
  <c r="I172" i="11"/>
  <c r="K172" i="11" s="1"/>
  <c r="L159" i="11"/>
  <c r="L157" i="11" s="1"/>
  <c r="L62" i="11"/>
  <c r="P49" i="11"/>
  <c r="N47" i="11"/>
  <c r="P47" i="11" s="1"/>
  <c r="N19" i="11"/>
  <c r="I332" i="11"/>
  <c r="M380" i="11"/>
  <c r="P380" i="11" s="1"/>
  <c r="P364" i="11"/>
  <c r="P338" i="11"/>
  <c r="P308" i="11"/>
  <c r="O274" i="11"/>
  <c r="L268" i="11"/>
  <c r="L243" i="11"/>
  <c r="O243" i="11" s="1"/>
  <c r="P144" i="11"/>
  <c r="M142" i="11"/>
  <c r="P142" i="11" s="1"/>
  <c r="P130" i="11"/>
  <c r="L78" i="11"/>
  <c r="O78" i="11" s="1"/>
  <c r="O64" i="11"/>
  <c r="L47" i="11"/>
  <c r="P338" i="10"/>
  <c r="N188" i="10"/>
  <c r="N186" i="10" s="1"/>
  <c r="L379" i="11"/>
  <c r="O379" i="11" s="1"/>
  <c r="L380" i="11"/>
  <c r="O380" i="11" s="1"/>
  <c r="K368" i="11"/>
  <c r="N335" i="11"/>
  <c r="N333" i="11" s="1"/>
  <c r="M336" i="11"/>
  <c r="P336" i="11" s="1"/>
  <c r="L235" i="11"/>
  <c r="L189" i="11"/>
  <c r="O189" i="11" s="1"/>
  <c r="L175" i="11"/>
  <c r="L173" i="11" s="1"/>
  <c r="N159" i="11"/>
  <c r="N157" i="11" s="1"/>
  <c r="L163" i="11"/>
  <c r="O163" i="11" s="1"/>
  <c r="M96" i="11"/>
  <c r="P96" i="11" s="1"/>
  <c r="P77" i="11"/>
  <c r="N75" i="11"/>
  <c r="M19" i="11"/>
  <c r="L362" i="11"/>
  <c r="O362" i="11" s="1"/>
  <c r="L336" i="11"/>
  <c r="O336" i="11" s="1"/>
  <c r="L234" i="11"/>
  <c r="M128" i="11"/>
  <c r="P128" i="11" s="1"/>
  <c r="P95" i="11"/>
  <c r="O287" i="11"/>
  <c r="L284" i="11"/>
  <c r="I202" i="11"/>
  <c r="K202" i="11" s="1"/>
  <c r="K209" i="11"/>
  <c r="O191" i="11"/>
  <c r="N188" i="11"/>
  <c r="N186" i="11" s="1"/>
  <c r="K84" i="11"/>
  <c r="I82" i="11"/>
  <c r="I202" i="10"/>
  <c r="K202" i="10" s="1"/>
  <c r="K209" i="10"/>
  <c r="K230" i="11"/>
  <c r="I92" i="10"/>
  <c r="K92" i="10" s="1"/>
  <c r="K108" i="10"/>
  <c r="M284" i="11"/>
  <c r="P284" i="11" s="1"/>
  <c r="P287" i="11"/>
  <c r="O158" i="11"/>
  <c r="P60" i="11"/>
  <c r="L335" i="11"/>
  <c r="O321" i="11"/>
  <c r="P267" i="11"/>
  <c r="O174" i="11"/>
  <c r="O133" i="11"/>
  <c r="L127" i="11"/>
  <c r="P126" i="11"/>
  <c r="N100" i="11"/>
  <c r="N96" i="11"/>
  <c r="N94" i="11" s="1"/>
  <c r="L358" i="11"/>
  <c r="L23" i="11"/>
  <c r="L21" i="11" s="1"/>
  <c r="L96" i="11"/>
  <c r="O99" i="11"/>
  <c r="L26" i="11"/>
  <c r="O26" i="11" s="1"/>
  <c r="I213" i="10"/>
  <c r="K213" i="10" s="1"/>
  <c r="K220" i="10"/>
  <c r="P328" i="11"/>
  <c r="M326" i="11"/>
  <c r="P326" i="11" s="1"/>
  <c r="K314" i="11"/>
  <c r="I302" i="11"/>
  <c r="K302" i="11" s="1"/>
  <c r="P304" i="11"/>
  <c r="M285" i="11"/>
  <c r="P285" i="11" s="1"/>
  <c r="L97" i="11"/>
  <c r="O97" i="11" s="1"/>
  <c r="P341" i="10"/>
  <c r="M339" i="10"/>
  <c r="P339" i="10" s="1"/>
  <c r="I365" i="11"/>
  <c r="K365" i="11" s="1"/>
  <c r="L359" i="11"/>
  <c r="O359" i="11" s="1"/>
  <c r="L339" i="11"/>
  <c r="O339" i="11" s="1"/>
  <c r="P325" i="11"/>
  <c r="M323" i="11"/>
  <c r="P323" i="11" s="1"/>
  <c r="L285" i="11"/>
  <c r="O285" i="11" s="1"/>
  <c r="I231" i="11"/>
  <c r="K231" i="11" s="1"/>
  <c r="K242" i="11"/>
  <c r="P67" i="11"/>
  <c r="M65" i="11"/>
  <c r="P65" i="11" s="1"/>
  <c r="M26" i="11"/>
  <c r="L142" i="11"/>
  <c r="O142" i="11" s="1"/>
  <c r="N62" i="11"/>
  <c r="L322" i="11"/>
  <c r="O322" i="11" s="1"/>
  <c r="L145" i="11"/>
  <c r="O145" i="11" s="1"/>
  <c r="L100" i="11"/>
  <c r="O100" i="11" s="1"/>
  <c r="P64" i="11"/>
  <c r="M62" i="11"/>
  <c r="P19" i="11"/>
  <c r="P290" i="9"/>
  <c r="K260" i="10"/>
  <c r="K249" i="10"/>
  <c r="L326" i="11"/>
  <c r="O326" i="11" s="1"/>
  <c r="L323" i="11"/>
  <c r="O323" i="11" s="1"/>
  <c r="P321" i="11"/>
  <c r="M305" i="11"/>
  <c r="P305" i="11" s="1"/>
  <c r="L288" i="11"/>
  <c r="O288" i="11" s="1"/>
  <c r="N284" i="11"/>
  <c r="N282" i="11" s="1"/>
  <c r="M268" i="11"/>
  <c r="P268" i="11" s="1"/>
  <c r="K249" i="11"/>
  <c r="K153" i="11"/>
  <c r="N141" i="11"/>
  <c r="N139" i="11" s="1"/>
  <c r="K108" i="11"/>
  <c r="N61" i="11"/>
  <c r="N59" i="11" s="1"/>
  <c r="O25" i="11"/>
  <c r="L222" i="11"/>
  <c r="O222" i="11" s="1"/>
  <c r="P189" i="11"/>
  <c r="M175" i="11"/>
  <c r="M159" i="11"/>
  <c r="P159" i="11" s="1"/>
  <c r="K292" i="11"/>
  <c r="M188" i="11"/>
  <c r="P176" i="11"/>
  <c r="K167" i="11"/>
  <c r="I169" i="11"/>
  <c r="K169" i="11" s="1"/>
  <c r="O144" i="11"/>
  <c r="M61" i="11"/>
  <c r="P61" i="11" s="1"/>
  <c r="N26" i="11"/>
  <c r="N24" i="11" s="1"/>
  <c r="O19" i="11"/>
  <c r="M322" i="10"/>
  <c r="M320" i="10" s="1"/>
  <c r="P320" i="10" s="1"/>
  <c r="O133" i="10"/>
  <c r="P191" i="11"/>
  <c r="P187" i="11"/>
  <c r="P181" i="11"/>
  <c r="P165" i="11"/>
  <c r="I137" i="11"/>
  <c r="K137" i="11" s="1"/>
  <c r="I83" i="11"/>
  <c r="K85" i="11"/>
  <c r="M74" i="11"/>
  <c r="P74" i="11" s="1"/>
  <c r="O178" i="11"/>
  <c r="O162" i="11"/>
  <c r="P99" i="11"/>
  <c r="O77" i="11"/>
  <c r="O49" i="11"/>
  <c r="P25" i="11"/>
  <c r="N23" i="11"/>
  <c r="M23" i="11"/>
  <c r="M46" i="11"/>
  <c r="P47" i="10"/>
  <c r="M159" i="10"/>
  <c r="P159" i="10" s="1"/>
  <c r="O382" i="10"/>
  <c r="K346" i="10"/>
  <c r="M272" i="10"/>
  <c r="P272" i="10" s="1"/>
  <c r="P133" i="10"/>
  <c r="P287" i="10"/>
  <c r="L243" i="10"/>
  <c r="O243" i="10" s="1"/>
  <c r="M163" i="10"/>
  <c r="P163" i="10" s="1"/>
  <c r="M127" i="10"/>
  <c r="P127" i="10" s="1"/>
  <c r="M100" i="10"/>
  <c r="P100" i="10" s="1"/>
  <c r="L78" i="10"/>
  <c r="O78" i="10" s="1"/>
  <c r="P67" i="10"/>
  <c r="L65" i="10"/>
  <c r="O65" i="10" s="1"/>
  <c r="M379" i="10"/>
  <c r="P379" i="10" s="1"/>
  <c r="M358" i="10"/>
  <c r="M356" i="10" s="1"/>
  <c r="P336" i="10"/>
  <c r="O287" i="10"/>
  <c r="L163" i="10"/>
  <c r="O163" i="10" s="1"/>
  <c r="M160" i="10"/>
  <c r="P160" i="10" s="1"/>
  <c r="O147" i="10"/>
  <c r="M145" i="10"/>
  <c r="P145" i="10" s="1"/>
  <c r="I82" i="10"/>
  <c r="K82" i="10" s="1"/>
  <c r="O359" i="10"/>
  <c r="P194" i="10"/>
  <c r="L175" i="10"/>
  <c r="L173" i="10" s="1"/>
  <c r="K153" i="10"/>
  <c r="P144" i="10"/>
  <c r="L50" i="10"/>
  <c r="O50" i="10" s="1"/>
  <c r="L96" i="10"/>
  <c r="O96" i="10" s="1"/>
  <c r="L74" i="10"/>
  <c r="L72" i="10" s="1"/>
  <c r="O72" i="10" s="1"/>
  <c r="L61" i="10"/>
  <c r="L59" i="10" s="1"/>
  <c r="L46" i="10"/>
  <c r="L44" i="10" s="1"/>
  <c r="L268" i="10"/>
  <c r="O268" i="10" s="1"/>
  <c r="M380" i="10"/>
  <c r="P380" i="10" s="1"/>
  <c r="P364" i="10"/>
  <c r="N335" i="10"/>
  <c r="N333" i="10" s="1"/>
  <c r="K330" i="10"/>
  <c r="K314" i="10"/>
  <c r="L214" i="10"/>
  <c r="O214" i="10" s="1"/>
  <c r="K195" i="10"/>
  <c r="I156" i="10"/>
  <c r="K156" i="10" s="1"/>
  <c r="O144" i="10"/>
  <c r="M74" i="10"/>
  <c r="P74" i="10" s="1"/>
  <c r="M50" i="10"/>
  <c r="P50" i="10" s="1"/>
  <c r="J351" i="10"/>
  <c r="O385" i="10"/>
  <c r="M335" i="10"/>
  <c r="M333" i="10" s="1"/>
  <c r="P290" i="10"/>
  <c r="M284" i="10"/>
  <c r="P284" i="10" s="1"/>
  <c r="L235" i="10"/>
  <c r="I238" i="10"/>
  <c r="K238" i="10" s="1"/>
  <c r="L179" i="10"/>
  <c r="O179" i="10" s="1"/>
  <c r="L176" i="10"/>
  <c r="O176" i="10" s="1"/>
  <c r="P130" i="10"/>
  <c r="L62" i="10"/>
  <c r="K240" i="10"/>
  <c r="L203" i="10"/>
  <c r="O203" i="10" s="1"/>
  <c r="J351" i="9"/>
  <c r="L379" i="10"/>
  <c r="L377" i="10" s="1"/>
  <c r="O377" i="10" s="1"/>
  <c r="P361" i="10"/>
  <c r="K344" i="10"/>
  <c r="O336" i="10"/>
  <c r="O311" i="10"/>
  <c r="L305" i="10"/>
  <c r="O305" i="10" s="1"/>
  <c r="O290" i="10"/>
  <c r="L159" i="10"/>
  <c r="O159" i="10" s="1"/>
  <c r="M141" i="10"/>
  <c r="P141" i="10" s="1"/>
  <c r="O130" i="10"/>
  <c r="N96" i="10"/>
  <c r="N94" i="10" s="1"/>
  <c r="N61" i="10"/>
  <c r="N59" i="10" s="1"/>
  <c r="L47" i="10"/>
  <c r="O47" i="10" s="1"/>
  <c r="J351" i="8"/>
  <c r="N358" i="10"/>
  <c r="N356" i="10" s="1"/>
  <c r="M359" i="10"/>
  <c r="P359" i="10" s="1"/>
  <c r="J343" i="10"/>
  <c r="L322" i="10"/>
  <c r="O322" i="10" s="1"/>
  <c r="K293" i="10"/>
  <c r="M268" i="10"/>
  <c r="P268" i="10" s="1"/>
  <c r="L254" i="10"/>
  <c r="O254" i="10" s="1"/>
  <c r="L233" i="10"/>
  <c r="I241" i="10"/>
  <c r="K241" i="10" s="1"/>
  <c r="K229" i="10"/>
  <c r="L222" i="10"/>
  <c r="O222" i="10" s="1"/>
  <c r="L188" i="10"/>
  <c r="L186" i="10" s="1"/>
  <c r="M128" i="10"/>
  <c r="P128" i="10" s="1"/>
  <c r="M96" i="10"/>
  <c r="M94" i="10" s="1"/>
  <c r="P94" i="10" s="1"/>
  <c r="M78" i="10"/>
  <c r="P78" i="10" s="1"/>
  <c r="M46" i="10"/>
  <c r="M44" i="10" s="1"/>
  <c r="M19" i="10"/>
  <c r="L335" i="10"/>
  <c r="M323" i="10"/>
  <c r="P323" i="10" s="1"/>
  <c r="L362" i="10"/>
  <c r="O362" i="10" s="1"/>
  <c r="L323" i="10"/>
  <c r="O323" i="10" s="1"/>
  <c r="K152" i="10"/>
  <c r="I137" i="10"/>
  <c r="K137" i="10" s="1"/>
  <c r="K369" i="7"/>
  <c r="L326" i="10"/>
  <c r="O326" i="10" s="1"/>
  <c r="I231" i="10"/>
  <c r="K231" i="10" s="1"/>
  <c r="K242" i="10"/>
  <c r="N232" i="10"/>
  <c r="I172" i="10"/>
  <c r="K172" i="10" s="1"/>
  <c r="N26" i="10"/>
  <c r="N24" i="10" s="1"/>
  <c r="O25" i="10"/>
  <c r="L358" i="10"/>
  <c r="J332" i="10"/>
  <c r="L339" i="10"/>
  <c r="O339" i="10" s="1"/>
  <c r="I332" i="10"/>
  <c r="P19" i="10"/>
  <c r="M335" i="9"/>
  <c r="M333" i="9" s="1"/>
  <c r="M188" i="9"/>
  <c r="M186" i="9" s="1"/>
  <c r="N379" i="10"/>
  <c r="N377" i="10" s="1"/>
  <c r="O361" i="10"/>
  <c r="O338" i="10"/>
  <c r="P325" i="10"/>
  <c r="M309" i="10"/>
  <c r="P309" i="10" s="1"/>
  <c r="L236" i="10"/>
  <c r="P187" i="10"/>
  <c r="P176" i="10"/>
  <c r="M305" i="10"/>
  <c r="P305" i="10" s="1"/>
  <c r="P308" i="10"/>
  <c r="I365" i="10"/>
  <c r="K365" i="10" s="1"/>
  <c r="O64" i="10"/>
  <c r="P64" i="10"/>
  <c r="N62" i="10"/>
  <c r="P52" i="9"/>
  <c r="P328" i="10"/>
  <c r="O325" i="10"/>
  <c r="O308" i="10"/>
  <c r="O102" i="10"/>
  <c r="L100" i="10"/>
  <c r="O100" i="10" s="1"/>
  <c r="K87" i="10"/>
  <c r="I83" i="10"/>
  <c r="K220" i="8"/>
  <c r="K260" i="9"/>
  <c r="P49" i="9"/>
  <c r="N322" i="10"/>
  <c r="N320" i="10" s="1"/>
  <c r="N305" i="10"/>
  <c r="N303" i="10" s="1"/>
  <c r="M306" i="10"/>
  <c r="P306" i="10" s="1"/>
  <c r="O274" i="10"/>
  <c r="L272" i="10"/>
  <c r="O272" i="10" s="1"/>
  <c r="O271" i="10"/>
  <c r="L269" i="10"/>
  <c r="O269" i="10" s="1"/>
  <c r="O191" i="10"/>
  <c r="P191" i="10"/>
  <c r="N189" i="10"/>
  <c r="O189" i="10" s="1"/>
  <c r="O99" i="10"/>
  <c r="L97" i="10"/>
  <c r="O97" i="10" s="1"/>
  <c r="P60" i="10"/>
  <c r="M26" i="10"/>
  <c r="P26" i="10" s="1"/>
  <c r="L19" i="10"/>
  <c r="P304" i="10"/>
  <c r="N284" i="10"/>
  <c r="N282" i="10" s="1"/>
  <c r="M188" i="10"/>
  <c r="P181" i="10"/>
  <c r="P178" i="10"/>
  <c r="P162" i="10"/>
  <c r="K154" i="10"/>
  <c r="N141" i="10"/>
  <c r="N139" i="10" s="1"/>
  <c r="N127" i="10"/>
  <c r="N125" i="10" s="1"/>
  <c r="I93" i="10"/>
  <c r="K93" i="10" s="1"/>
  <c r="P77" i="10"/>
  <c r="M61" i="10"/>
  <c r="P49" i="10"/>
  <c r="L26" i="10"/>
  <c r="O26" i="10" s="1"/>
  <c r="O304" i="10"/>
  <c r="P271" i="10"/>
  <c r="O267" i="10"/>
  <c r="K230" i="10"/>
  <c r="K198" i="10"/>
  <c r="O178" i="10"/>
  <c r="O162" i="10"/>
  <c r="P99" i="10"/>
  <c r="O95" i="10"/>
  <c r="O77" i="10"/>
  <c r="O49" i="10"/>
  <c r="P25" i="10"/>
  <c r="N23" i="10"/>
  <c r="K292" i="10"/>
  <c r="L284" i="10"/>
  <c r="N175" i="10"/>
  <c r="N173" i="10" s="1"/>
  <c r="N159" i="10"/>
  <c r="N157" i="10" s="1"/>
  <c r="L141" i="10"/>
  <c r="O141" i="10" s="1"/>
  <c r="L127" i="10"/>
  <c r="O127" i="10" s="1"/>
  <c r="N74" i="10"/>
  <c r="N72" i="10" s="1"/>
  <c r="N46" i="10"/>
  <c r="N44" i="10" s="1"/>
  <c r="M23" i="10"/>
  <c r="M21" i="10" s="1"/>
  <c r="N268" i="10"/>
  <c r="N266" i="10" s="1"/>
  <c r="M175" i="10"/>
  <c r="N50" i="10"/>
  <c r="L23" i="10"/>
  <c r="L234" i="9"/>
  <c r="P144" i="9"/>
  <c r="L96" i="9"/>
  <c r="O96" i="9" s="1"/>
  <c r="P271" i="9"/>
  <c r="N268" i="9"/>
  <c r="N266" i="9" s="1"/>
  <c r="P162" i="9"/>
  <c r="K198" i="8"/>
  <c r="L61" i="9"/>
  <c r="L59" i="9" s="1"/>
  <c r="P328" i="9"/>
  <c r="M326" i="9"/>
  <c r="P326" i="9" s="1"/>
  <c r="K292" i="9"/>
  <c r="I281" i="9"/>
  <c r="K281" i="9" s="1"/>
  <c r="K209" i="9"/>
  <c r="I202" i="9"/>
  <c r="K202" i="9" s="1"/>
  <c r="I213" i="9"/>
  <c r="K213" i="9" s="1"/>
  <c r="K220" i="9"/>
  <c r="P336" i="9"/>
  <c r="M78" i="9"/>
  <c r="P78" i="9" s="1"/>
  <c r="P80" i="9"/>
  <c r="I172" i="9"/>
  <c r="K172" i="9" s="1"/>
  <c r="K183" i="9"/>
  <c r="M131" i="9"/>
  <c r="P131" i="9" s="1"/>
  <c r="P133" i="9"/>
  <c r="L222" i="9"/>
  <c r="O222" i="9" s="1"/>
  <c r="M127" i="9"/>
  <c r="P127" i="9" s="1"/>
  <c r="M97" i="8"/>
  <c r="P97" i="8" s="1"/>
  <c r="L379" i="9"/>
  <c r="L377" i="9" s="1"/>
  <c r="O377" i="9" s="1"/>
  <c r="K371" i="9"/>
  <c r="P364" i="9"/>
  <c r="O336" i="9"/>
  <c r="O290" i="9"/>
  <c r="K229" i="9"/>
  <c r="O176" i="9"/>
  <c r="K154" i="9"/>
  <c r="M145" i="9"/>
  <c r="P145" i="9" s="1"/>
  <c r="I93" i="9"/>
  <c r="K93" i="9" s="1"/>
  <c r="I83" i="9"/>
  <c r="K83" i="9" s="1"/>
  <c r="M26" i="9"/>
  <c r="P26" i="9" s="1"/>
  <c r="J343" i="9"/>
  <c r="K314" i="9"/>
  <c r="M305" i="9"/>
  <c r="P305" i="9" s="1"/>
  <c r="N284" i="9"/>
  <c r="N282" i="9" s="1"/>
  <c r="L203" i="9"/>
  <c r="O203" i="9" s="1"/>
  <c r="O385" i="9"/>
  <c r="M358" i="9"/>
  <c r="M356" i="9" s="1"/>
  <c r="O328" i="9"/>
  <c r="L236" i="9"/>
  <c r="O133" i="9"/>
  <c r="O99" i="9"/>
  <c r="P338" i="9"/>
  <c r="P325" i="9"/>
  <c r="L322" i="9"/>
  <c r="L320" i="9" s="1"/>
  <c r="O320" i="9" s="1"/>
  <c r="L284" i="9"/>
  <c r="O284" i="9" s="1"/>
  <c r="P77" i="9"/>
  <c r="L380" i="9"/>
  <c r="O380" i="9" s="1"/>
  <c r="O364" i="9"/>
  <c r="M339" i="9"/>
  <c r="P339" i="9" s="1"/>
  <c r="K330" i="9"/>
  <c r="O325" i="9"/>
  <c r="K293" i="9"/>
  <c r="K252" i="9"/>
  <c r="L188" i="9"/>
  <c r="L186" i="9" s="1"/>
  <c r="P181" i="9"/>
  <c r="M159" i="9"/>
  <c r="P159" i="9" s="1"/>
  <c r="K153" i="9"/>
  <c r="O144" i="9"/>
  <c r="P130" i="9"/>
  <c r="M128" i="9"/>
  <c r="P128" i="9" s="1"/>
  <c r="N96" i="9"/>
  <c r="N94" i="9" s="1"/>
  <c r="N97" i="9"/>
  <c r="I82" i="9"/>
  <c r="K82" i="9" s="1"/>
  <c r="M74" i="9"/>
  <c r="P74" i="9" s="1"/>
  <c r="L50" i="9"/>
  <c r="O50" i="9" s="1"/>
  <c r="M284" i="9"/>
  <c r="P284" i="9" s="1"/>
  <c r="L235" i="9"/>
  <c r="O99" i="8"/>
  <c r="L254" i="9"/>
  <c r="O254" i="9" s="1"/>
  <c r="K241" i="9"/>
  <c r="L243" i="9"/>
  <c r="O243" i="9" s="1"/>
  <c r="P178" i="9"/>
  <c r="L159" i="9"/>
  <c r="K108" i="9"/>
  <c r="M96" i="9"/>
  <c r="P96" i="9" s="1"/>
  <c r="M97" i="9"/>
  <c r="P97" i="9" s="1"/>
  <c r="L74" i="9"/>
  <c r="O67" i="9"/>
  <c r="L62" i="9"/>
  <c r="N19" i="9"/>
  <c r="N188" i="9"/>
  <c r="O361" i="9"/>
  <c r="M359" i="9"/>
  <c r="M322" i="9"/>
  <c r="M320" i="9" s="1"/>
  <c r="P320" i="9" s="1"/>
  <c r="O287" i="9"/>
  <c r="O194" i="9"/>
  <c r="P174" i="9"/>
  <c r="P165" i="9"/>
  <c r="O147" i="9"/>
  <c r="M141" i="9"/>
  <c r="P141" i="9" s="1"/>
  <c r="O64" i="9"/>
  <c r="M46" i="9"/>
  <c r="M44" i="9" s="1"/>
  <c r="M100" i="9"/>
  <c r="P100" i="9" s="1"/>
  <c r="P361" i="9"/>
  <c r="P308" i="9"/>
  <c r="N305" i="9"/>
  <c r="N303" i="9" s="1"/>
  <c r="L285" i="9"/>
  <c r="O285" i="9" s="1"/>
  <c r="L214" i="9"/>
  <c r="O214" i="9" s="1"/>
  <c r="M175" i="9"/>
  <c r="M173" i="9" s="1"/>
  <c r="K169" i="9"/>
  <c r="L163" i="9"/>
  <c r="O163" i="9" s="1"/>
  <c r="L78" i="9"/>
  <c r="O78" i="9" s="1"/>
  <c r="L46" i="9"/>
  <c r="L44" i="9" s="1"/>
  <c r="M19" i="9"/>
  <c r="O189" i="9"/>
  <c r="N378" i="1"/>
  <c r="N379" i="9"/>
  <c r="N377" i="9" s="1"/>
  <c r="L309" i="9"/>
  <c r="O309" i="9" s="1"/>
  <c r="P67" i="9"/>
  <c r="M65" i="9"/>
  <c r="P65" i="9" s="1"/>
  <c r="M379" i="9"/>
  <c r="P379" i="9" s="1"/>
  <c r="M383" i="9"/>
  <c r="P383" i="9" s="1"/>
  <c r="M380" i="9"/>
  <c r="P380" i="9" s="1"/>
  <c r="N359" i="9"/>
  <c r="P341" i="9"/>
  <c r="O338" i="9"/>
  <c r="N335" i="9"/>
  <c r="J332" i="9"/>
  <c r="K332" i="9" s="1"/>
  <c r="L305" i="9"/>
  <c r="O305" i="9" s="1"/>
  <c r="O283" i="9"/>
  <c r="M268" i="9"/>
  <c r="P268" i="9" s="1"/>
  <c r="I240" i="9"/>
  <c r="K240" i="9" s="1"/>
  <c r="K251" i="9"/>
  <c r="O191" i="9"/>
  <c r="I137" i="9"/>
  <c r="K137" i="9" s="1"/>
  <c r="L127" i="9"/>
  <c r="O102" i="9"/>
  <c r="P64" i="9"/>
  <c r="M62" i="9"/>
  <c r="M272" i="9"/>
  <c r="P272" i="9" s="1"/>
  <c r="P194" i="9"/>
  <c r="M192" i="9"/>
  <c r="P192" i="9" s="1"/>
  <c r="N26" i="9"/>
  <c r="N24" i="9" s="1"/>
  <c r="N50" i="9"/>
  <c r="N358" i="9"/>
  <c r="P176" i="9"/>
  <c r="N127" i="9"/>
  <c r="N125" i="9" s="1"/>
  <c r="L335" i="8"/>
  <c r="L333" i="8" s="1"/>
  <c r="P328" i="8"/>
  <c r="P325" i="8"/>
  <c r="M322" i="8"/>
  <c r="P322" i="8" s="1"/>
  <c r="P378" i="9"/>
  <c r="L358" i="9"/>
  <c r="O341" i="9"/>
  <c r="P311" i="9"/>
  <c r="P304" i="9"/>
  <c r="L268" i="9"/>
  <c r="I242" i="9"/>
  <c r="K249" i="9"/>
  <c r="L233" i="9"/>
  <c r="I195" i="9"/>
  <c r="K195" i="9" s="1"/>
  <c r="O178" i="9"/>
  <c r="N141" i="9"/>
  <c r="N139" i="9" s="1"/>
  <c r="O130" i="9"/>
  <c r="N74" i="9"/>
  <c r="N72" i="9" s="1"/>
  <c r="N61" i="9"/>
  <c r="N59" i="9" s="1"/>
  <c r="N47" i="9"/>
  <c r="O47" i="9" s="1"/>
  <c r="N23" i="9"/>
  <c r="N46" i="9"/>
  <c r="N285" i="9"/>
  <c r="L272" i="9"/>
  <c r="O272" i="9" s="1"/>
  <c r="N62" i="9"/>
  <c r="L26" i="9"/>
  <c r="O26" i="9" s="1"/>
  <c r="O364" i="8"/>
  <c r="N358" i="8"/>
  <c r="N356" i="8" s="1"/>
  <c r="P357" i="9"/>
  <c r="K346" i="9"/>
  <c r="L335" i="9"/>
  <c r="L306" i="9"/>
  <c r="O306" i="9" s="1"/>
  <c r="O304" i="9"/>
  <c r="P287" i="9"/>
  <c r="P267" i="9"/>
  <c r="N232" i="9"/>
  <c r="P191" i="9"/>
  <c r="M189" i="9"/>
  <c r="P189" i="9" s="1"/>
  <c r="N175" i="9"/>
  <c r="N159" i="9"/>
  <c r="N157" i="9" s="1"/>
  <c r="L141" i="9"/>
  <c r="P73" i="9"/>
  <c r="M61" i="9"/>
  <c r="P19" i="9"/>
  <c r="M23" i="9"/>
  <c r="L19" i="9"/>
  <c r="I238" i="9"/>
  <c r="K238" i="9" s="1"/>
  <c r="P194" i="8"/>
  <c r="P67" i="8"/>
  <c r="K344" i="9"/>
  <c r="N322" i="9"/>
  <c r="N320" i="9" s="1"/>
  <c r="L269" i="9"/>
  <c r="O269" i="9" s="1"/>
  <c r="L179" i="9"/>
  <c r="O179" i="9" s="1"/>
  <c r="L175" i="9"/>
  <c r="L100" i="9"/>
  <c r="O100" i="9" s="1"/>
  <c r="P60" i="9"/>
  <c r="O162" i="9"/>
  <c r="P99" i="9"/>
  <c r="O95" i="9"/>
  <c r="O77" i="9"/>
  <c r="O49" i="9"/>
  <c r="P25" i="9"/>
  <c r="L23" i="9"/>
  <c r="L236" i="8"/>
  <c r="K371" i="8"/>
  <c r="K292" i="8"/>
  <c r="K344" i="8"/>
  <c r="N335" i="8"/>
  <c r="N333" i="8" s="1"/>
  <c r="M379" i="8"/>
  <c r="P379" i="8" s="1"/>
  <c r="M268" i="8"/>
  <c r="P268" i="8" s="1"/>
  <c r="L127" i="8"/>
  <c r="O127" i="8" s="1"/>
  <c r="O290" i="8"/>
  <c r="O77" i="8"/>
  <c r="M61" i="8"/>
  <c r="M59" i="8" s="1"/>
  <c r="L235" i="8"/>
  <c r="L233" i="8"/>
  <c r="O181" i="8"/>
  <c r="I136" i="8"/>
  <c r="K136" i="8" s="1"/>
  <c r="L358" i="7"/>
  <c r="L356" i="7" s="1"/>
  <c r="K109" i="7"/>
  <c r="K330" i="8"/>
  <c r="L234" i="8"/>
  <c r="O178" i="8"/>
  <c r="N175" i="8"/>
  <c r="N173" i="8" s="1"/>
  <c r="O133" i="8"/>
  <c r="P102" i="8"/>
  <c r="O361" i="8"/>
  <c r="N359" i="8"/>
  <c r="O359" i="8" s="1"/>
  <c r="K346" i="8"/>
  <c r="M309" i="8"/>
  <c r="P309" i="8" s="1"/>
  <c r="M305" i="8"/>
  <c r="M303" i="8" s="1"/>
  <c r="M269" i="8"/>
  <c r="P269" i="8" s="1"/>
  <c r="K209" i="8"/>
  <c r="M188" i="8"/>
  <c r="M186" i="8" s="1"/>
  <c r="M159" i="8"/>
  <c r="P159" i="8" s="1"/>
  <c r="J332" i="8"/>
  <c r="N322" i="8"/>
  <c r="N320" i="8" s="1"/>
  <c r="K314" i="8"/>
  <c r="N305" i="8"/>
  <c r="N303" i="8" s="1"/>
  <c r="L305" i="8"/>
  <c r="N268" i="8"/>
  <c r="N266" i="8" s="1"/>
  <c r="K229" i="8"/>
  <c r="L222" i="8"/>
  <c r="O222" i="8" s="1"/>
  <c r="O191" i="8"/>
  <c r="L159" i="8"/>
  <c r="L157" i="8" s="1"/>
  <c r="O157" i="8" s="1"/>
  <c r="K109" i="8"/>
  <c r="N74" i="8"/>
  <c r="N72" i="8" s="1"/>
  <c r="L46" i="8"/>
  <c r="L44" i="8" s="1"/>
  <c r="P361" i="8"/>
  <c r="K302" i="8"/>
  <c r="N284" i="8"/>
  <c r="N282" i="8" s="1"/>
  <c r="L203" i="8"/>
  <c r="O203" i="8" s="1"/>
  <c r="O165" i="8"/>
  <c r="N127" i="8"/>
  <c r="N125" i="8" s="1"/>
  <c r="L74" i="8"/>
  <c r="O74" i="8" s="1"/>
  <c r="M383" i="8"/>
  <c r="P383" i="8" s="1"/>
  <c r="M380" i="8"/>
  <c r="P380" i="8" s="1"/>
  <c r="O341" i="8"/>
  <c r="L254" i="8"/>
  <c r="O254" i="8" s="1"/>
  <c r="I240" i="8"/>
  <c r="K240" i="8" s="1"/>
  <c r="M175" i="8"/>
  <c r="P175" i="8" s="1"/>
  <c r="N141" i="8"/>
  <c r="N139" i="8" s="1"/>
  <c r="M141" i="8"/>
  <c r="P141" i="8" s="1"/>
  <c r="K108" i="8"/>
  <c r="M96" i="8"/>
  <c r="P96" i="8" s="1"/>
  <c r="I82" i="8"/>
  <c r="K82" i="8" s="1"/>
  <c r="L65" i="8"/>
  <c r="O65" i="8" s="1"/>
  <c r="M62" i="8"/>
  <c r="M19" i="8"/>
  <c r="O338" i="8"/>
  <c r="N336" i="8"/>
  <c r="P336" i="8" s="1"/>
  <c r="I332" i="8"/>
  <c r="K332" i="8" s="1"/>
  <c r="O311" i="8"/>
  <c r="L284" i="8"/>
  <c r="O284" i="8" s="1"/>
  <c r="I238" i="8"/>
  <c r="K238" i="8" s="1"/>
  <c r="L214" i="8"/>
  <c r="O214" i="8" s="1"/>
  <c r="L175" i="8"/>
  <c r="O175" i="8" s="1"/>
  <c r="I172" i="8"/>
  <c r="K172" i="8" s="1"/>
  <c r="O162" i="8"/>
  <c r="L160" i="8"/>
  <c r="O160" i="8" s="1"/>
  <c r="O80" i="8"/>
  <c r="O52" i="8"/>
  <c r="L47" i="8"/>
  <c r="L379" i="8"/>
  <c r="M288" i="8"/>
  <c r="P288" i="8" s="1"/>
  <c r="P133" i="8"/>
  <c r="M26" i="8"/>
  <c r="N26" i="8"/>
  <c r="N24" i="8" s="1"/>
  <c r="N50" i="8"/>
  <c r="L383" i="8"/>
  <c r="O383" i="8" s="1"/>
  <c r="L380" i="8"/>
  <c r="O380" i="8" s="1"/>
  <c r="P378" i="8"/>
  <c r="M362" i="8"/>
  <c r="P362" i="8" s="1"/>
  <c r="M359" i="8"/>
  <c r="L358" i="8"/>
  <c r="M339" i="8"/>
  <c r="P339" i="8" s="1"/>
  <c r="P334" i="8"/>
  <c r="N306" i="8"/>
  <c r="O306" i="8" s="1"/>
  <c r="P274" i="8"/>
  <c r="O271" i="8"/>
  <c r="K242" i="8"/>
  <c r="N188" i="8"/>
  <c r="M163" i="8"/>
  <c r="P163" i="8" s="1"/>
  <c r="P165" i="8"/>
  <c r="I156" i="8"/>
  <c r="K156" i="8" s="1"/>
  <c r="O144" i="8"/>
  <c r="L141" i="8"/>
  <c r="O141" i="8" s="1"/>
  <c r="L131" i="8"/>
  <c r="O131" i="8" s="1"/>
  <c r="P64" i="8"/>
  <c r="N62" i="8"/>
  <c r="O62" i="8" s="1"/>
  <c r="N47" i="8"/>
  <c r="N23" i="8"/>
  <c r="O49" i="8"/>
  <c r="P19" i="8"/>
  <c r="N187" i="1"/>
  <c r="M358" i="8"/>
  <c r="L326" i="8"/>
  <c r="O326" i="8" s="1"/>
  <c r="M127" i="8"/>
  <c r="J332" i="7"/>
  <c r="O77" i="7"/>
  <c r="P382" i="8"/>
  <c r="I365" i="8"/>
  <c r="K365" i="8" s="1"/>
  <c r="J343" i="8"/>
  <c r="L322" i="8"/>
  <c r="O322" i="8" s="1"/>
  <c r="O304" i="8"/>
  <c r="P287" i="8"/>
  <c r="O274" i="8"/>
  <c r="K249" i="8"/>
  <c r="L192" i="8"/>
  <c r="O192" i="8" s="1"/>
  <c r="L188" i="8"/>
  <c r="N159" i="8"/>
  <c r="N157" i="8" s="1"/>
  <c r="O130" i="8"/>
  <c r="O102" i="8"/>
  <c r="L96" i="8"/>
  <c r="L26" i="8"/>
  <c r="O26" i="8" s="1"/>
  <c r="N46" i="8"/>
  <c r="N44" i="8" s="1"/>
  <c r="L19" i="8"/>
  <c r="O22" i="8"/>
  <c r="M335" i="8"/>
  <c r="L285" i="8"/>
  <c r="O285" i="8" s="1"/>
  <c r="M179" i="8"/>
  <c r="P179" i="8" s="1"/>
  <c r="P181" i="8"/>
  <c r="L145" i="8"/>
  <c r="O145" i="8" s="1"/>
  <c r="M131" i="8"/>
  <c r="P131" i="8" s="1"/>
  <c r="M358" i="7"/>
  <c r="M356" i="7" s="1"/>
  <c r="O357" i="8"/>
  <c r="P338" i="8"/>
  <c r="P321" i="8"/>
  <c r="O287" i="8"/>
  <c r="M284" i="8"/>
  <c r="L268" i="8"/>
  <c r="O268" i="8" s="1"/>
  <c r="P191" i="8"/>
  <c r="P187" i="8"/>
  <c r="K153" i="8"/>
  <c r="M142" i="8"/>
  <c r="P142" i="8" s="1"/>
  <c r="O64" i="8"/>
  <c r="N61" i="8"/>
  <c r="N59" i="8" s="1"/>
  <c r="K371" i="7"/>
  <c r="N379" i="8"/>
  <c r="N377" i="8" s="1"/>
  <c r="L323" i="8"/>
  <c r="O323" i="8" s="1"/>
  <c r="P308" i="8"/>
  <c r="K293" i="8"/>
  <c r="I253" i="8"/>
  <c r="K253" i="8" s="1"/>
  <c r="I241" i="8"/>
  <c r="K241" i="8" s="1"/>
  <c r="P189" i="8"/>
  <c r="M176" i="8"/>
  <c r="P176" i="8" s="1"/>
  <c r="P178" i="8"/>
  <c r="M128" i="8"/>
  <c r="P128" i="8" s="1"/>
  <c r="O308" i="8"/>
  <c r="L243" i="8"/>
  <c r="L189" i="8"/>
  <c r="O189" i="8" s="1"/>
  <c r="M160" i="8"/>
  <c r="P160" i="8" s="1"/>
  <c r="P162" i="8"/>
  <c r="K152" i="8"/>
  <c r="I137" i="8"/>
  <c r="K137" i="8" s="1"/>
  <c r="M145" i="8"/>
  <c r="P145" i="8" s="1"/>
  <c r="O140" i="8"/>
  <c r="I83" i="8"/>
  <c r="M23" i="8"/>
  <c r="M21" i="8" s="1"/>
  <c r="P80" i="8"/>
  <c r="P77" i="8"/>
  <c r="P52" i="8"/>
  <c r="P49" i="8"/>
  <c r="L61" i="8"/>
  <c r="N96" i="8"/>
  <c r="N94" i="8" s="1"/>
  <c r="M74" i="8"/>
  <c r="P74" i="8" s="1"/>
  <c r="M46" i="8"/>
  <c r="M44" i="8" s="1"/>
  <c r="L23" i="8"/>
  <c r="L21" i="8" s="1"/>
  <c r="P22" i="8"/>
  <c r="O191" i="7"/>
  <c r="O144" i="7"/>
  <c r="O162" i="7"/>
  <c r="K154" i="7"/>
  <c r="M131" i="7"/>
  <c r="P131" i="7" s="1"/>
  <c r="L362" i="7"/>
  <c r="O362" i="7" s="1"/>
  <c r="M326" i="7"/>
  <c r="P326" i="7" s="1"/>
  <c r="P311" i="7"/>
  <c r="P308" i="7"/>
  <c r="L306" i="7"/>
  <c r="O306" i="7" s="1"/>
  <c r="K260" i="7"/>
  <c r="L236" i="7"/>
  <c r="K229" i="7"/>
  <c r="L65" i="7"/>
  <c r="O65" i="7" s="1"/>
  <c r="O325" i="7"/>
  <c r="I319" i="7"/>
  <c r="K319" i="7" s="1"/>
  <c r="O361" i="7"/>
  <c r="L46" i="7"/>
  <c r="L44" i="7" s="1"/>
  <c r="O325" i="6"/>
  <c r="K368" i="7"/>
  <c r="N335" i="7"/>
  <c r="N333" i="7" s="1"/>
  <c r="M322" i="7"/>
  <c r="P322" i="7" s="1"/>
  <c r="P274" i="7"/>
  <c r="O271" i="7"/>
  <c r="O130" i="7"/>
  <c r="M379" i="1"/>
  <c r="P379" i="1" s="1"/>
  <c r="P194" i="7"/>
  <c r="L192" i="7"/>
  <c r="O192" i="7" s="1"/>
  <c r="L189" i="7"/>
  <c r="N175" i="7"/>
  <c r="N173" i="7" s="1"/>
  <c r="K108" i="7"/>
  <c r="O80" i="7"/>
  <c r="O52" i="7"/>
  <c r="N284" i="7"/>
  <c r="N282" i="7" s="1"/>
  <c r="M145" i="7"/>
  <c r="P145" i="7" s="1"/>
  <c r="P99" i="7"/>
  <c r="J351" i="7"/>
  <c r="I238" i="7"/>
  <c r="K238" i="7" s="1"/>
  <c r="L222" i="7"/>
  <c r="O222" i="7" s="1"/>
  <c r="L203" i="7"/>
  <c r="O203" i="7" s="1"/>
  <c r="N159" i="7"/>
  <c r="N157" i="7" s="1"/>
  <c r="K365" i="7"/>
  <c r="N322" i="7"/>
  <c r="N320" i="7" s="1"/>
  <c r="I281" i="7"/>
  <c r="K281" i="7" s="1"/>
  <c r="L235" i="7"/>
  <c r="L214" i="7"/>
  <c r="O214" i="7" s="1"/>
  <c r="K195" i="7"/>
  <c r="L179" i="7"/>
  <c r="O179" i="7" s="1"/>
  <c r="N176" i="7"/>
  <c r="O176" i="7" s="1"/>
  <c r="L163" i="7"/>
  <c r="O163" i="7" s="1"/>
  <c r="L145" i="7"/>
  <c r="O145" i="7" s="1"/>
  <c r="O133" i="7"/>
  <c r="L127" i="7"/>
  <c r="L125" i="7" s="1"/>
  <c r="O125" i="7" s="1"/>
  <c r="M96" i="7"/>
  <c r="P96" i="7" s="1"/>
  <c r="I82" i="7"/>
  <c r="K82" i="7" s="1"/>
  <c r="L74" i="7"/>
  <c r="O74" i="7" s="1"/>
  <c r="P47" i="7"/>
  <c r="L243" i="7"/>
  <c r="N379" i="7"/>
  <c r="N377" i="7" s="1"/>
  <c r="L284" i="7"/>
  <c r="O284" i="7" s="1"/>
  <c r="L254" i="7"/>
  <c r="O254" i="7" s="1"/>
  <c r="K220" i="7"/>
  <c r="K209" i="7"/>
  <c r="I172" i="7"/>
  <c r="K172" i="7" s="1"/>
  <c r="O64" i="7"/>
  <c r="M379" i="7"/>
  <c r="M377" i="7" s="1"/>
  <c r="P377" i="7" s="1"/>
  <c r="O290" i="7"/>
  <c r="O274" i="7"/>
  <c r="L268" i="7"/>
  <c r="O268" i="7" s="1"/>
  <c r="L233" i="7"/>
  <c r="K169" i="7"/>
  <c r="M142" i="7"/>
  <c r="P142" i="7" s="1"/>
  <c r="L305" i="7"/>
  <c r="O305" i="7" s="1"/>
  <c r="L175" i="7"/>
  <c r="L173" i="7" s="1"/>
  <c r="P102" i="7"/>
  <c r="P67" i="7"/>
  <c r="M19" i="7"/>
  <c r="P338" i="7"/>
  <c r="N336" i="7"/>
  <c r="O336" i="7" s="1"/>
  <c r="O311" i="7"/>
  <c r="O287" i="7"/>
  <c r="N285" i="7"/>
  <c r="P271" i="7"/>
  <c r="L159" i="7"/>
  <c r="O159" i="7" s="1"/>
  <c r="L141" i="7"/>
  <c r="L139" i="7" s="1"/>
  <c r="O139" i="7" s="1"/>
  <c r="M128" i="7"/>
  <c r="P128" i="7" s="1"/>
  <c r="N74" i="7"/>
  <c r="N72" i="7" s="1"/>
  <c r="L62" i="7"/>
  <c r="L47" i="7"/>
  <c r="O47" i="7" s="1"/>
  <c r="P379" i="7"/>
  <c r="L23" i="7"/>
  <c r="L21" i="7" s="1"/>
  <c r="O99" i="7"/>
  <c r="L97" i="7"/>
  <c r="O97" i="7" s="1"/>
  <c r="P60" i="7"/>
  <c r="M383" i="7"/>
  <c r="P383" i="7" s="1"/>
  <c r="M380" i="7"/>
  <c r="P380" i="7" s="1"/>
  <c r="L379" i="7"/>
  <c r="O379" i="7" s="1"/>
  <c r="M359" i="7"/>
  <c r="K346" i="7"/>
  <c r="M339" i="7"/>
  <c r="P339" i="7" s="1"/>
  <c r="L326" i="7"/>
  <c r="O326" i="7" s="1"/>
  <c r="I302" i="7"/>
  <c r="K302" i="7" s="1"/>
  <c r="I280" i="7"/>
  <c r="K280" i="7" s="1"/>
  <c r="K293" i="7"/>
  <c r="M285" i="7"/>
  <c r="P285" i="7" s="1"/>
  <c r="P287" i="7"/>
  <c r="M284" i="7"/>
  <c r="P284" i="7" s="1"/>
  <c r="K152" i="7"/>
  <c r="I137" i="7"/>
  <c r="K137" i="7" s="1"/>
  <c r="P19" i="7"/>
  <c r="P187" i="7"/>
  <c r="N379" i="6"/>
  <c r="N377" i="6" s="1"/>
  <c r="L383" i="7"/>
  <c r="O383" i="7" s="1"/>
  <c r="L380" i="7"/>
  <c r="O380" i="7" s="1"/>
  <c r="M362" i="7"/>
  <c r="P362" i="7" s="1"/>
  <c r="L359" i="7"/>
  <c r="J343" i="7"/>
  <c r="M335" i="7"/>
  <c r="L322" i="7"/>
  <c r="P267" i="7"/>
  <c r="P191" i="7"/>
  <c r="N189" i="7"/>
  <c r="P189" i="7" s="1"/>
  <c r="P64" i="7"/>
  <c r="N62" i="7"/>
  <c r="N358" i="7"/>
  <c r="I213" i="5"/>
  <c r="K213" i="5" s="1"/>
  <c r="P382" i="7"/>
  <c r="O378" i="7"/>
  <c r="I332" i="7"/>
  <c r="K344" i="7"/>
  <c r="O338" i="7"/>
  <c r="L335" i="7"/>
  <c r="N305" i="7"/>
  <c r="N303" i="7" s="1"/>
  <c r="N188" i="7"/>
  <c r="N186" i="7" s="1"/>
  <c r="I83" i="7"/>
  <c r="N61" i="7"/>
  <c r="N59" i="7" s="1"/>
  <c r="O25" i="7"/>
  <c r="N359" i="7"/>
  <c r="P80" i="5"/>
  <c r="P361" i="7"/>
  <c r="P304" i="7"/>
  <c r="L96" i="7"/>
  <c r="N26" i="7"/>
  <c r="N24" i="7" s="1"/>
  <c r="K368" i="6"/>
  <c r="O341" i="7"/>
  <c r="O334" i="7"/>
  <c r="M288" i="7"/>
  <c r="P288" i="7" s="1"/>
  <c r="P290" i="7"/>
  <c r="O283" i="7"/>
  <c r="N268" i="7"/>
  <c r="N266" i="7" s="1"/>
  <c r="I242" i="7"/>
  <c r="K249" i="7"/>
  <c r="L234" i="7"/>
  <c r="O102" i="7"/>
  <c r="L26" i="7"/>
  <c r="O26" i="7" s="1"/>
  <c r="L100" i="7"/>
  <c r="O100" i="7" s="1"/>
  <c r="M26" i="7"/>
  <c r="L19" i="7"/>
  <c r="M305" i="7"/>
  <c r="P305" i="7" s="1"/>
  <c r="M268" i="7"/>
  <c r="P268" i="7" s="1"/>
  <c r="M188" i="7"/>
  <c r="P181" i="7"/>
  <c r="P178" i="7"/>
  <c r="O174" i="7"/>
  <c r="P165" i="7"/>
  <c r="P162" i="7"/>
  <c r="O158" i="7"/>
  <c r="N141" i="7"/>
  <c r="N139" i="7" s="1"/>
  <c r="N127" i="7"/>
  <c r="N125" i="7" s="1"/>
  <c r="P95" i="7"/>
  <c r="P80" i="7"/>
  <c r="P77" i="7"/>
  <c r="O73" i="7"/>
  <c r="M61" i="7"/>
  <c r="M59" i="7" s="1"/>
  <c r="P52" i="7"/>
  <c r="P49" i="7"/>
  <c r="O45" i="7"/>
  <c r="P325" i="7"/>
  <c r="K230" i="7"/>
  <c r="K198" i="7"/>
  <c r="L188" i="7"/>
  <c r="O178" i="7"/>
  <c r="M141" i="7"/>
  <c r="M127" i="7"/>
  <c r="L61" i="7"/>
  <c r="O49" i="7"/>
  <c r="N23" i="7"/>
  <c r="K153" i="7"/>
  <c r="K85" i="7"/>
  <c r="N46" i="7"/>
  <c r="N44" i="7" s="1"/>
  <c r="M23" i="7"/>
  <c r="M175" i="7"/>
  <c r="M159" i="7"/>
  <c r="P159" i="7" s="1"/>
  <c r="N96" i="7"/>
  <c r="N94" i="7" s="1"/>
  <c r="M74" i="7"/>
  <c r="P74" i="7" s="1"/>
  <c r="M46" i="7"/>
  <c r="P22" i="7"/>
  <c r="P359" i="6"/>
  <c r="K344" i="6"/>
  <c r="P306" i="6"/>
  <c r="I280" i="6"/>
  <c r="K280" i="6" s="1"/>
  <c r="M272" i="6"/>
  <c r="P272" i="6" s="1"/>
  <c r="P102" i="6"/>
  <c r="K292" i="6"/>
  <c r="M285" i="6"/>
  <c r="P285" i="6" s="1"/>
  <c r="J343" i="6"/>
  <c r="L78" i="6"/>
  <c r="O78" i="6" s="1"/>
  <c r="L75" i="6"/>
  <c r="O75" i="6" s="1"/>
  <c r="P194" i="6"/>
  <c r="J351" i="6"/>
  <c r="L235" i="6"/>
  <c r="I253" i="6"/>
  <c r="K253" i="6" s="1"/>
  <c r="L175" i="6"/>
  <c r="N175" i="3"/>
  <c r="N173" i="3" s="1"/>
  <c r="P385" i="6"/>
  <c r="K371" i="6"/>
  <c r="O274" i="6"/>
  <c r="O99" i="6"/>
  <c r="P382" i="6"/>
  <c r="K346" i="6"/>
  <c r="P311" i="6"/>
  <c r="L236" i="6"/>
  <c r="O165" i="6"/>
  <c r="M97" i="6"/>
  <c r="P97" i="6" s="1"/>
  <c r="L65" i="6"/>
  <c r="O65" i="6" s="1"/>
  <c r="P328" i="6"/>
  <c r="P271" i="6"/>
  <c r="K109" i="6"/>
  <c r="M339" i="6"/>
  <c r="P339" i="6" s="1"/>
  <c r="L268" i="6"/>
  <c r="L266" i="6" s="1"/>
  <c r="O266" i="6" s="1"/>
  <c r="L234" i="6"/>
  <c r="I195" i="6"/>
  <c r="K195" i="6" s="1"/>
  <c r="L379" i="6"/>
  <c r="O379" i="6" s="1"/>
  <c r="L222" i="6"/>
  <c r="O222" i="6" s="1"/>
  <c r="L159" i="6"/>
  <c r="L157" i="6" s="1"/>
  <c r="L383" i="6"/>
  <c r="O383" i="6" s="1"/>
  <c r="K369" i="6"/>
  <c r="M362" i="6"/>
  <c r="P362" i="6" s="1"/>
  <c r="O328" i="6"/>
  <c r="N284" i="6"/>
  <c r="N282" i="6" s="1"/>
  <c r="M268" i="6"/>
  <c r="P268" i="6" s="1"/>
  <c r="J231" i="6"/>
  <c r="J185" i="6" s="1"/>
  <c r="K229" i="6"/>
  <c r="K220" i="6"/>
  <c r="K209" i="6"/>
  <c r="L192" i="6"/>
  <c r="O192" i="6" s="1"/>
  <c r="M145" i="6"/>
  <c r="P145" i="6" s="1"/>
  <c r="M131" i="6"/>
  <c r="P131" i="6" s="1"/>
  <c r="M61" i="6"/>
  <c r="M59" i="6" s="1"/>
  <c r="M322" i="6"/>
  <c r="P322" i="6" s="1"/>
  <c r="N380" i="6"/>
  <c r="O338" i="6"/>
  <c r="M305" i="6"/>
  <c r="M303" i="6" s="1"/>
  <c r="I302" i="6"/>
  <c r="K302" i="6" s="1"/>
  <c r="L254" i="6"/>
  <c r="O254" i="6" s="1"/>
  <c r="O189" i="6"/>
  <c r="N141" i="6"/>
  <c r="N139" i="6" s="1"/>
  <c r="M142" i="6"/>
  <c r="P142" i="6" s="1"/>
  <c r="N127" i="6"/>
  <c r="N125" i="6" s="1"/>
  <c r="M128" i="6"/>
  <c r="P128" i="6" s="1"/>
  <c r="L46" i="6"/>
  <c r="L44" i="6" s="1"/>
  <c r="L380" i="6"/>
  <c r="O380" i="6" s="1"/>
  <c r="M358" i="6"/>
  <c r="M356" i="6" s="1"/>
  <c r="P325" i="6"/>
  <c r="L305" i="6"/>
  <c r="L303" i="6" s="1"/>
  <c r="L233" i="6"/>
  <c r="M188" i="6"/>
  <c r="M186" i="6" s="1"/>
  <c r="O181" i="6"/>
  <c r="L176" i="6"/>
  <c r="N74" i="6"/>
  <c r="N72" i="6" s="1"/>
  <c r="O361" i="6"/>
  <c r="J332" i="6"/>
  <c r="K330" i="6"/>
  <c r="L288" i="6"/>
  <c r="O288" i="6" s="1"/>
  <c r="L214" i="6"/>
  <c r="O214" i="6" s="1"/>
  <c r="N175" i="6"/>
  <c r="N173" i="6" s="1"/>
  <c r="I136" i="6"/>
  <c r="K136" i="6" s="1"/>
  <c r="K108" i="6"/>
  <c r="M96" i="6"/>
  <c r="P96" i="6" s="1"/>
  <c r="I82" i="6"/>
  <c r="K82" i="6" s="1"/>
  <c r="L74" i="6"/>
  <c r="P67" i="6"/>
  <c r="K368" i="4"/>
  <c r="N335" i="6"/>
  <c r="N333" i="6" s="1"/>
  <c r="N322" i="6"/>
  <c r="N320" i="6" s="1"/>
  <c r="O287" i="6"/>
  <c r="O271" i="6"/>
  <c r="N232" i="6"/>
  <c r="L203" i="6"/>
  <c r="O203" i="6" s="1"/>
  <c r="L160" i="6"/>
  <c r="K153" i="6"/>
  <c r="O147" i="6"/>
  <c r="O133" i="6"/>
  <c r="O52" i="6"/>
  <c r="L47" i="6"/>
  <c r="P336" i="6"/>
  <c r="L306" i="6"/>
  <c r="O306" i="6" s="1"/>
  <c r="I238" i="6"/>
  <c r="K238" i="6" s="1"/>
  <c r="P189" i="6"/>
  <c r="N26" i="6"/>
  <c r="N24" i="6" s="1"/>
  <c r="N50" i="6"/>
  <c r="I365" i="6"/>
  <c r="K365" i="6" s="1"/>
  <c r="L362" i="6"/>
  <c r="O362" i="6" s="1"/>
  <c r="L359" i="6"/>
  <c r="O359" i="6" s="1"/>
  <c r="L339" i="6"/>
  <c r="O339" i="6" s="1"/>
  <c r="L309" i="6"/>
  <c r="O309" i="6" s="1"/>
  <c r="M176" i="6"/>
  <c r="M175" i="6"/>
  <c r="P178" i="6"/>
  <c r="P64" i="6"/>
  <c r="N62" i="6"/>
  <c r="O62" i="6" s="1"/>
  <c r="N47" i="6"/>
  <c r="P47" i="6" s="1"/>
  <c r="N23" i="6"/>
  <c r="O49" i="6"/>
  <c r="M23" i="6"/>
  <c r="M21" i="6" s="1"/>
  <c r="L358" i="6"/>
  <c r="O271" i="5"/>
  <c r="O382" i="6"/>
  <c r="P361" i="6"/>
  <c r="P338" i="6"/>
  <c r="M335" i="6"/>
  <c r="L322" i="6"/>
  <c r="O322" i="6" s="1"/>
  <c r="P308" i="6"/>
  <c r="M284" i="6"/>
  <c r="P284" i="6" s="1"/>
  <c r="L243" i="6"/>
  <c r="O191" i="6"/>
  <c r="N160" i="6"/>
  <c r="O162" i="6"/>
  <c r="L141" i="6"/>
  <c r="O141" i="6" s="1"/>
  <c r="L127" i="6"/>
  <c r="O127" i="6" s="1"/>
  <c r="L26" i="6"/>
  <c r="O26" i="6" s="1"/>
  <c r="N46" i="6"/>
  <c r="O102" i="5"/>
  <c r="L335" i="6"/>
  <c r="I332" i="6"/>
  <c r="O321" i="6"/>
  <c r="O308" i="6"/>
  <c r="N305" i="6"/>
  <c r="L284" i="6"/>
  <c r="O284" i="6" s="1"/>
  <c r="N188" i="6"/>
  <c r="N186" i="6" s="1"/>
  <c r="I172" i="6"/>
  <c r="K172" i="6" s="1"/>
  <c r="N159" i="6"/>
  <c r="N157" i="6" s="1"/>
  <c r="K152" i="6"/>
  <c r="I137" i="6"/>
  <c r="K137" i="6" s="1"/>
  <c r="O102" i="6"/>
  <c r="L96" i="6"/>
  <c r="O64" i="6"/>
  <c r="N61" i="6"/>
  <c r="N59" i="6" s="1"/>
  <c r="O147" i="5"/>
  <c r="M379" i="6"/>
  <c r="N358" i="6"/>
  <c r="N356" i="6" s="1"/>
  <c r="P334" i="6"/>
  <c r="P283" i="6"/>
  <c r="I242" i="6"/>
  <c r="P187" i="6"/>
  <c r="P158" i="6"/>
  <c r="O144" i="6"/>
  <c r="O130" i="6"/>
  <c r="P60" i="6"/>
  <c r="P19" i="6"/>
  <c r="L19" i="6"/>
  <c r="N176" i="6"/>
  <c r="O178" i="6"/>
  <c r="N284" i="5"/>
  <c r="N282" i="5" s="1"/>
  <c r="K153" i="5"/>
  <c r="N61" i="5"/>
  <c r="N59" i="5" s="1"/>
  <c r="L336" i="6"/>
  <c r="O336" i="6" s="1"/>
  <c r="M288" i="6"/>
  <c r="P288" i="6" s="1"/>
  <c r="N268" i="6"/>
  <c r="N266" i="6" s="1"/>
  <c r="P191" i="6"/>
  <c r="M179" i="6"/>
  <c r="P179" i="6" s="1"/>
  <c r="P181" i="6"/>
  <c r="K167" i="6"/>
  <c r="I168" i="6"/>
  <c r="K168" i="6" s="1"/>
  <c r="I169" i="6"/>
  <c r="K169" i="6" s="1"/>
  <c r="I156" i="6"/>
  <c r="K156" i="6" s="1"/>
  <c r="I83" i="6"/>
  <c r="M26" i="6"/>
  <c r="P165" i="6"/>
  <c r="P162" i="6"/>
  <c r="P80" i="6"/>
  <c r="P77" i="6"/>
  <c r="P52" i="6"/>
  <c r="P49" i="6"/>
  <c r="L188" i="6"/>
  <c r="M141" i="6"/>
  <c r="M127" i="6"/>
  <c r="L61" i="6"/>
  <c r="M159" i="6"/>
  <c r="P159" i="6" s="1"/>
  <c r="N96" i="6"/>
  <c r="N94" i="6" s="1"/>
  <c r="M74" i="6"/>
  <c r="P74" i="6" s="1"/>
  <c r="M46" i="6"/>
  <c r="M44" i="6" s="1"/>
  <c r="L23" i="6"/>
  <c r="P22" i="6"/>
  <c r="M141" i="5"/>
  <c r="M139" i="5" s="1"/>
  <c r="L383" i="5"/>
  <c r="O383" i="5" s="1"/>
  <c r="K292" i="5"/>
  <c r="L235" i="5"/>
  <c r="L222" i="5"/>
  <c r="O222" i="5" s="1"/>
  <c r="L335" i="5"/>
  <c r="L333" i="5" s="1"/>
  <c r="L78" i="5"/>
  <c r="O78" i="5" s="1"/>
  <c r="P52" i="5"/>
  <c r="K371" i="5"/>
  <c r="K368" i="5"/>
  <c r="L284" i="5"/>
  <c r="O284" i="5" s="1"/>
  <c r="K108" i="4"/>
  <c r="L336" i="5"/>
  <c r="O336" i="5" s="1"/>
  <c r="L236" i="5"/>
  <c r="L159" i="5"/>
  <c r="O159" i="5" s="1"/>
  <c r="M127" i="5"/>
  <c r="P127" i="5" s="1"/>
  <c r="N96" i="5"/>
  <c r="N94" i="5" s="1"/>
  <c r="L379" i="5"/>
  <c r="O379" i="5" s="1"/>
  <c r="P341" i="5"/>
  <c r="M96" i="5"/>
  <c r="P96" i="5" s="1"/>
  <c r="M74" i="5"/>
  <c r="P74" i="5" s="1"/>
  <c r="J343" i="5"/>
  <c r="M335" i="5"/>
  <c r="M333" i="5" s="1"/>
  <c r="P287" i="5"/>
  <c r="O274" i="5"/>
  <c r="L192" i="5"/>
  <c r="O192" i="5" s="1"/>
  <c r="L163" i="5"/>
  <c r="O163" i="5" s="1"/>
  <c r="L74" i="5"/>
  <c r="O74" i="5" s="1"/>
  <c r="O64" i="5"/>
  <c r="P308" i="5"/>
  <c r="L234" i="5"/>
  <c r="P162" i="5"/>
  <c r="P133" i="5"/>
  <c r="N358" i="4"/>
  <c r="N356" i="4" s="1"/>
  <c r="L305" i="4"/>
  <c r="L303" i="4" s="1"/>
  <c r="P189" i="4"/>
  <c r="J351" i="5"/>
  <c r="K346" i="5"/>
  <c r="N305" i="5"/>
  <c r="N303" i="5" s="1"/>
  <c r="M188" i="5"/>
  <c r="M186" i="5" s="1"/>
  <c r="K369" i="5"/>
  <c r="M362" i="5"/>
  <c r="P362" i="5" s="1"/>
  <c r="J332" i="5"/>
  <c r="K332" i="5" s="1"/>
  <c r="O341" i="5"/>
  <c r="O338" i="5"/>
  <c r="O311" i="5"/>
  <c r="N268" i="5"/>
  <c r="N266" i="5" s="1"/>
  <c r="K252" i="5"/>
  <c r="J231" i="5"/>
  <c r="J185" i="5" s="1"/>
  <c r="K229" i="5"/>
  <c r="N188" i="5"/>
  <c r="N186" i="5" s="1"/>
  <c r="P181" i="5"/>
  <c r="L179" i="5"/>
  <c r="O179" i="5" s="1"/>
  <c r="O158" i="5"/>
  <c r="I156" i="5"/>
  <c r="K156" i="5" s="1"/>
  <c r="M145" i="5"/>
  <c r="P145" i="5" s="1"/>
  <c r="M142" i="5"/>
  <c r="O130" i="5"/>
  <c r="M100" i="5"/>
  <c r="P100" i="5" s="1"/>
  <c r="N97" i="5"/>
  <c r="P77" i="5"/>
  <c r="M75" i="5"/>
  <c r="P75" i="5" s="1"/>
  <c r="L61" i="5"/>
  <c r="L59" i="5" s="1"/>
  <c r="L46" i="5"/>
  <c r="L44" i="5" s="1"/>
  <c r="L19" i="5"/>
  <c r="O19" i="5" s="1"/>
  <c r="N322" i="5"/>
  <c r="N320" i="5" s="1"/>
  <c r="L326" i="5"/>
  <c r="O326" i="5" s="1"/>
  <c r="K221" i="5"/>
  <c r="L214" i="5"/>
  <c r="O214" i="5" s="1"/>
  <c r="P178" i="5"/>
  <c r="K154" i="5"/>
  <c r="L141" i="5"/>
  <c r="L139" i="5" s="1"/>
  <c r="M97" i="5"/>
  <c r="P97" i="5" s="1"/>
  <c r="I93" i="5"/>
  <c r="K93" i="5" s="1"/>
  <c r="L75" i="5"/>
  <c r="O75" i="5" s="1"/>
  <c r="O308" i="5"/>
  <c r="L254" i="5"/>
  <c r="O254" i="5" s="1"/>
  <c r="M128" i="5"/>
  <c r="P128" i="5" s="1"/>
  <c r="O67" i="5"/>
  <c r="P382" i="3"/>
  <c r="M309" i="3"/>
  <c r="P309" i="3" s="1"/>
  <c r="N379" i="5"/>
  <c r="N377" i="5" s="1"/>
  <c r="L380" i="5"/>
  <c r="O380" i="5" s="1"/>
  <c r="L358" i="5"/>
  <c r="L356" i="5" s="1"/>
  <c r="P338" i="5"/>
  <c r="M336" i="5"/>
  <c r="P336" i="5" s="1"/>
  <c r="L243" i="5"/>
  <c r="L203" i="5"/>
  <c r="O203" i="5" s="1"/>
  <c r="P165" i="5"/>
  <c r="L50" i="5"/>
  <c r="O50" i="5" s="1"/>
  <c r="M19" i="5"/>
  <c r="P19" i="5" s="1"/>
  <c r="P338" i="4"/>
  <c r="L234" i="4"/>
  <c r="K209" i="4"/>
  <c r="K344" i="5"/>
  <c r="O325" i="5"/>
  <c r="N285" i="5"/>
  <c r="P271" i="5"/>
  <c r="K198" i="5"/>
  <c r="L175" i="5"/>
  <c r="K138" i="5"/>
  <c r="P49" i="5"/>
  <c r="O323" i="5"/>
  <c r="I202" i="5"/>
  <c r="K202" i="5" s="1"/>
  <c r="K209" i="5"/>
  <c r="N65" i="5"/>
  <c r="L26" i="5"/>
  <c r="O26" i="5" s="1"/>
  <c r="O287" i="2"/>
  <c r="P176" i="4"/>
  <c r="O77" i="4"/>
  <c r="P385" i="5"/>
  <c r="P382" i="5"/>
  <c r="O378" i="5"/>
  <c r="I365" i="5"/>
  <c r="K365" i="5" s="1"/>
  <c r="L362" i="5"/>
  <c r="O362" i="5" s="1"/>
  <c r="P328" i="5"/>
  <c r="M326" i="5"/>
  <c r="P326" i="5" s="1"/>
  <c r="I280" i="5"/>
  <c r="K280" i="5" s="1"/>
  <c r="K293" i="5"/>
  <c r="O290" i="5"/>
  <c r="L288" i="5"/>
  <c r="O288" i="5" s="1"/>
  <c r="I238" i="5"/>
  <c r="K238" i="5" s="1"/>
  <c r="N159" i="5"/>
  <c r="N157" i="5" s="1"/>
  <c r="O144" i="5"/>
  <c r="O133" i="5"/>
  <c r="L96" i="5"/>
  <c r="O96" i="5" s="1"/>
  <c r="I83" i="5"/>
  <c r="P67" i="5"/>
  <c r="M65" i="5"/>
  <c r="P65" i="5" s="1"/>
  <c r="N26" i="5"/>
  <c r="N24" i="5" s="1"/>
  <c r="N50" i="5"/>
  <c r="L50" i="3"/>
  <c r="O50" i="3" s="1"/>
  <c r="P47" i="4"/>
  <c r="O382" i="5"/>
  <c r="P361" i="5"/>
  <c r="I319" i="5"/>
  <c r="K319" i="5" s="1"/>
  <c r="P194" i="5"/>
  <c r="M192" i="5"/>
  <c r="P192" i="5" s="1"/>
  <c r="I172" i="5"/>
  <c r="K172" i="5" s="1"/>
  <c r="P144" i="5"/>
  <c r="N142" i="5"/>
  <c r="O142" i="5" s="1"/>
  <c r="K108" i="5"/>
  <c r="O99" i="5"/>
  <c r="N62" i="5"/>
  <c r="O62" i="5" s="1"/>
  <c r="O25" i="5"/>
  <c r="L359" i="5"/>
  <c r="O274" i="3"/>
  <c r="O361" i="5"/>
  <c r="M358" i="5"/>
  <c r="P325" i="5"/>
  <c r="M323" i="5"/>
  <c r="P323" i="5" s="1"/>
  <c r="P311" i="5"/>
  <c r="O287" i="5"/>
  <c r="L285" i="5"/>
  <c r="O285" i="5" s="1"/>
  <c r="M284" i="5"/>
  <c r="P284" i="5" s="1"/>
  <c r="P274" i="5"/>
  <c r="N189" i="5"/>
  <c r="O189" i="5" s="1"/>
  <c r="N127" i="5"/>
  <c r="N125" i="5" s="1"/>
  <c r="I82" i="5"/>
  <c r="P64" i="5"/>
  <c r="M62" i="5"/>
  <c r="N47" i="5"/>
  <c r="O47" i="5" s="1"/>
  <c r="N23" i="5"/>
  <c r="N326" i="5"/>
  <c r="M383" i="4"/>
  <c r="P383" i="4" s="1"/>
  <c r="M379" i="5"/>
  <c r="P379" i="5" s="1"/>
  <c r="N358" i="5"/>
  <c r="N356" i="5" s="1"/>
  <c r="N359" i="5"/>
  <c r="P359" i="5" s="1"/>
  <c r="P290" i="5"/>
  <c r="P191" i="5"/>
  <c r="M189" i="5"/>
  <c r="N175" i="5"/>
  <c r="N173" i="5" s="1"/>
  <c r="I137" i="5"/>
  <c r="K137" i="5" s="1"/>
  <c r="L127" i="5"/>
  <c r="M23" i="5"/>
  <c r="M322" i="5"/>
  <c r="M305" i="5"/>
  <c r="M268" i="5"/>
  <c r="I253" i="5"/>
  <c r="K253" i="5" s="1"/>
  <c r="K260" i="5"/>
  <c r="K251" i="5"/>
  <c r="I240" i="5"/>
  <c r="K240" i="5" s="1"/>
  <c r="L233" i="5"/>
  <c r="O191" i="5"/>
  <c r="N141" i="5"/>
  <c r="N139" i="5" s="1"/>
  <c r="N74" i="5"/>
  <c r="N72" i="5" s="1"/>
  <c r="M61" i="5"/>
  <c r="N46" i="5"/>
  <c r="N44" i="5" s="1"/>
  <c r="M26" i="5"/>
  <c r="P26" i="5" s="1"/>
  <c r="L322" i="5"/>
  <c r="I242" i="5"/>
  <c r="L188" i="5"/>
  <c r="O178" i="5"/>
  <c r="O162" i="5"/>
  <c r="P99" i="5"/>
  <c r="O95" i="5"/>
  <c r="O77" i="5"/>
  <c r="O49" i="5"/>
  <c r="N335" i="5"/>
  <c r="K314" i="5"/>
  <c r="L305" i="5"/>
  <c r="O305" i="5" s="1"/>
  <c r="L268" i="5"/>
  <c r="O268" i="5" s="1"/>
  <c r="M175" i="5"/>
  <c r="P175" i="5" s="1"/>
  <c r="M159" i="5"/>
  <c r="P159" i="5" s="1"/>
  <c r="M46" i="5"/>
  <c r="L23" i="5"/>
  <c r="P22" i="5"/>
  <c r="L236" i="4"/>
  <c r="K369" i="4"/>
  <c r="N284" i="4"/>
  <c r="N282" i="4" s="1"/>
  <c r="I253" i="4"/>
  <c r="K253" i="4" s="1"/>
  <c r="I242" i="4"/>
  <c r="J351" i="4"/>
  <c r="O338" i="4"/>
  <c r="O194" i="4"/>
  <c r="O144" i="4"/>
  <c r="P99" i="4"/>
  <c r="M192" i="4"/>
  <c r="P192" i="4" s="1"/>
  <c r="O160" i="4"/>
  <c r="L65" i="4"/>
  <c r="O65" i="4" s="1"/>
  <c r="K260" i="3"/>
  <c r="L284" i="4"/>
  <c r="O284" i="4" s="1"/>
  <c r="I241" i="4"/>
  <c r="K241" i="4" s="1"/>
  <c r="M61" i="4"/>
  <c r="M59" i="4" s="1"/>
  <c r="J343" i="4"/>
  <c r="P328" i="4"/>
  <c r="O290" i="4"/>
  <c r="K213" i="4"/>
  <c r="L175" i="4"/>
  <c r="L173" i="4" s="1"/>
  <c r="I83" i="4"/>
  <c r="I71" i="4" s="1"/>
  <c r="K71" i="4" s="1"/>
  <c r="O62" i="4"/>
  <c r="O328" i="4"/>
  <c r="O189" i="4"/>
  <c r="L358" i="2"/>
  <c r="L356" i="2" s="1"/>
  <c r="O133" i="2"/>
  <c r="K330" i="3"/>
  <c r="P67" i="3"/>
  <c r="P64" i="3"/>
  <c r="K198" i="4"/>
  <c r="P67" i="4"/>
  <c r="P361" i="4"/>
  <c r="L235" i="4"/>
  <c r="K138" i="4"/>
  <c r="N141" i="4"/>
  <c r="N139" i="4" s="1"/>
  <c r="M141" i="4"/>
  <c r="L46" i="4"/>
  <c r="L44" i="4" s="1"/>
  <c r="O382" i="3"/>
  <c r="O67" i="3"/>
  <c r="K371" i="4"/>
  <c r="O361" i="4"/>
  <c r="N335" i="4"/>
  <c r="N333" i="4" s="1"/>
  <c r="P325" i="4"/>
  <c r="K293" i="4"/>
  <c r="O287" i="4"/>
  <c r="L254" i="4"/>
  <c r="O254" i="4" s="1"/>
  <c r="L203" i="4"/>
  <c r="O203" i="4" s="1"/>
  <c r="L188" i="4"/>
  <c r="L186" i="4" s="1"/>
  <c r="P144" i="4"/>
  <c r="M96" i="4"/>
  <c r="P96" i="4" s="1"/>
  <c r="P64" i="4"/>
  <c r="M62" i="4"/>
  <c r="P62" i="4" s="1"/>
  <c r="O99" i="3"/>
  <c r="L74" i="3"/>
  <c r="L72" i="3" s="1"/>
  <c r="O72" i="3" s="1"/>
  <c r="P321" i="4"/>
  <c r="K314" i="4"/>
  <c r="L285" i="4"/>
  <c r="O285" i="4" s="1"/>
  <c r="L222" i="4"/>
  <c r="O222" i="4" s="1"/>
  <c r="K220" i="4"/>
  <c r="L214" i="4"/>
  <c r="O214" i="4" s="1"/>
  <c r="M188" i="4"/>
  <c r="M186" i="4" s="1"/>
  <c r="P187" i="4"/>
  <c r="I172" i="4"/>
  <c r="K172" i="4" s="1"/>
  <c r="L159" i="4"/>
  <c r="L157" i="4" s="1"/>
  <c r="O142" i="4"/>
  <c r="P102" i="4"/>
  <c r="L74" i="4"/>
  <c r="L72" i="4" s="1"/>
  <c r="O72" i="4" s="1"/>
  <c r="L61" i="4"/>
  <c r="L59" i="4" s="1"/>
  <c r="O52" i="4"/>
  <c r="P287" i="3"/>
  <c r="P378" i="4"/>
  <c r="M322" i="4"/>
  <c r="P322" i="4" s="1"/>
  <c r="P308" i="4"/>
  <c r="M305" i="4"/>
  <c r="M303" i="4" s="1"/>
  <c r="P274" i="4"/>
  <c r="P271" i="4"/>
  <c r="N268" i="4"/>
  <c r="N266" i="4" s="1"/>
  <c r="I136" i="4"/>
  <c r="K136" i="4" s="1"/>
  <c r="O102" i="4"/>
  <c r="O80" i="4"/>
  <c r="P60" i="4"/>
  <c r="O49" i="4"/>
  <c r="L379" i="4"/>
  <c r="L377" i="4" s="1"/>
  <c r="O377" i="4" s="1"/>
  <c r="M379" i="4"/>
  <c r="P379" i="4" s="1"/>
  <c r="N359" i="4"/>
  <c r="K346" i="4"/>
  <c r="L322" i="4"/>
  <c r="L320" i="4" s="1"/>
  <c r="O320" i="4" s="1"/>
  <c r="N305" i="4"/>
  <c r="N303" i="4" s="1"/>
  <c r="M268" i="4"/>
  <c r="P268" i="4" s="1"/>
  <c r="J231" i="4"/>
  <c r="J185" i="4" s="1"/>
  <c r="I238" i="4"/>
  <c r="K238" i="4" s="1"/>
  <c r="N232" i="4"/>
  <c r="I168" i="4"/>
  <c r="K168" i="4" s="1"/>
  <c r="I156" i="4"/>
  <c r="K156" i="4" s="1"/>
  <c r="N127" i="4"/>
  <c r="N125" i="4" s="1"/>
  <c r="K109" i="4"/>
  <c r="K85" i="4"/>
  <c r="N74" i="4"/>
  <c r="N72" i="4" s="1"/>
  <c r="L47" i="4"/>
  <c r="O47" i="4" s="1"/>
  <c r="M335" i="4"/>
  <c r="O126" i="4"/>
  <c r="M50" i="4"/>
  <c r="P50" i="4" s="1"/>
  <c r="P52" i="4"/>
  <c r="M26" i="4"/>
  <c r="J351" i="3"/>
  <c r="M74" i="3"/>
  <c r="M72" i="3" s="1"/>
  <c r="P72" i="3" s="1"/>
  <c r="L383" i="4"/>
  <c r="O383" i="4" s="1"/>
  <c r="L380" i="4"/>
  <c r="O380" i="4" s="1"/>
  <c r="M362" i="4"/>
  <c r="P362" i="4" s="1"/>
  <c r="M359" i="4"/>
  <c r="L358" i="4"/>
  <c r="M339" i="4"/>
  <c r="P339" i="4" s="1"/>
  <c r="M336" i="4"/>
  <c r="P336" i="4" s="1"/>
  <c r="L335" i="4"/>
  <c r="L333" i="4" s="1"/>
  <c r="J332" i="4"/>
  <c r="K332" i="4" s="1"/>
  <c r="L323" i="4"/>
  <c r="O323" i="4" s="1"/>
  <c r="N306" i="4"/>
  <c r="P306" i="4" s="1"/>
  <c r="N288" i="4"/>
  <c r="L243" i="4"/>
  <c r="L233" i="4"/>
  <c r="M179" i="4"/>
  <c r="P179" i="4" s="1"/>
  <c r="L176" i="4"/>
  <c r="O176" i="4" s="1"/>
  <c r="M163" i="4"/>
  <c r="P163" i="4" s="1"/>
  <c r="L141" i="4"/>
  <c r="L131" i="4"/>
  <c r="O131" i="4" s="1"/>
  <c r="M127" i="4"/>
  <c r="L26" i="4"/>
  <c r="O26" i="4" s="1"/>
  <c r="N23" i="4"/>
  <c r="M358" i="4"/>
  <c r="L272" i="4"/>
  <c r="O272" i="4" s="1"/>
  <c r="M131" i="4"/>
  <c r="P131" i="4" s="1"/>
  <c r="M75" i="4"/>
  <c r="P75" i="4" s="1"/>
  <c r="P77" i="4"/>
  <c r="P67" i="2"/>
  <c r="N358" i="3"/>
  <c r="N356" i="3" s="1"/>
  <c r="L234" i="3"/>
  <c r="P382" i="4"/>
  <c r="I365" i="4"/>
  <c r="K365" i="4" s="1"/>
  <c r="L362" i="4"/>
  <c r="O362" i="4" s="1"/>
  <c r="L359" i="4"/>
  <c r="L339" i="4"/>
  <c r="O339" i="4" s="1"/>
  <c r="L336" i="4"/>
  <c r="O336" i="4" s="1"/>
  <c r="K330" i="4"/>
  <c r="P311" i="4"/>
  <c r="L268" i="4"/>
  <c r="O268" i="4" s="1"/>
  <c r="I240" i="4"/>
  <c r="K240" i="4" s="1"/>
  <c r="K229" i="4"/>
  <c r="L179" i="4"/>
  <c r="O179" i="4" s="1"/>
  <c r="K167" i="4"/>
  <c r="L163" i="4"/>
  <c r="O163" i="4" s="1"/>
  <c r="N159" i="4"/>
  <c r="N157" i="4" s="1"/>
  <c r="O130" i="4"/>
  <c r="L127" i="4"/>
  <c r="O127" i="4" s="1"/>
  <c r="N96" i="4"/>
  <c r="N94" i="4" s="1"/>
  <c r="M78" i="4"/>
  <c r="P78" i="4" s="1"/>
  <c r="P80" i="4"/>
  <c r="N78" i="4"/>
  <c r="K109" i="3"/>
  <c r="O382" i="4"/>
  <c r="O357" i="4"/>
  <c r="O334" i="4"/>
  <c r="O308" i="4"/>
  <c r="L306" i="4"/>
  <c r="O304" i="4"/>
  <c r="P287" i="4"/>
  <c r="P267" i="4"/>
  <c r="O178" i="4"/>
  <c r="N175" i="4"/>
  <c r="N173" i="4" s="1"/>
  <c r="O162" i="4"/>
  <c r="M159" i="4"/>
  <c r="P159" i="4" s="1"/>
  <c r="K153" i="4"/>
  <c r="O147" i="4"/>
  <c r="M142" i="4"/>
  <c r="P142" i="4" s="1"/>
  <c r="O99" i="4"/>
  <c r="L96" i="4"/>
  <c r="N97" i="1"/>
  <c r="N100" i="1"/>
  <c r="K344" i="2"/>
  <c r="M145" i="3"/>
  <c r="P145" i="3" s="1"/>
  <c r="N379" i="4"/>
  <c r="N377" i="4" s="1"/>
  <c r="O325" i="4"/>
  <c r="N322" i="4"/>
  <c r="N320" i="4" s="1"/>
  <c r="P290" i="4"/>
  <c r="L269" i="4"/>
  <c r="O269" i="4" s="1"/>
  <c r="O267" i="4"/>
  <c r="P191" i="4"/>
  <c r="M175" i="4"/>
  <c r="M128" i="4"/>
  <c r="P128" i="4" s="1"/>
  <c r="M74" i="4"/>
  <c r="P74" i="4" s="1"/>
  <c r="O64" i="4"/>
  <c r="L23" i="4"/>
  <c r="O25" i="4"/>
  <c r="M19" i="4"/>
  <c r="P22" i="4"/>
  <c r="L19" i="4"/>
  <c r="M50" i="2"/>
  <c r="P50" i="2" s="1"/>
  <c r="P194" i="3"/>
  <c r="K108" i="3"/>
  <c r="K344" i="4"/>
  <c r="L309" i="4"/>
  <c r="O309" i="4" s="1"/>
  <c r="M284" i="4"/>
  <c r="I281" i="4"/>
  <c r="K281" i="4" s="1"/>
  <c r="O191" i="4"/>
  <c r="N188" i="4"/>
  <c r="P178" i="4"/>
  <c r="M160" i="4"/>
  <c r="P160" i="4" s="1"/>
  <c r="P162" i="4"/>
  <c r="K152" i="4"/>
  <c r="I137" i="4"/>
  <c r="K137" i="4" s="1"/>
  <c r="M145" i="4"/>
  <c r="P145" i="4" s="1"/>
  <c r="O140" i="4"/>
  <c r="I82" i="4"/>
  <c r="N61" i="4"/>
  <c r="N26" i="4"/>
  <c r="N24" i="4" s="1"/>
  <c r="N50" i="4"/>
  <c r="P49" i="4"/>
  <c r="N46" i="4"/>
  <c r="N44" i="4" s="1"/>
  <c r="M23" i="4"/>
  <c r="M46" i="4"/>
  <c r="I138" i="3"/>
  <c r="K138" i="3" s="1"/>
  <c r="M46" i="3"/>
  <c r="M44" i="3" s="1"/>
  <c r="P341" i="3"/>
  <c r="M272" i="3"/>
  <c r="P272" i="3" s="1"/>
  <c r="I202" i="3"/>
  <c r="K202" i="3" s="1"/>
  <c r="I195" i="3"/>
  <c r="K195" i="3" s="1"/>
  <c r="N188" i="3"/>
  <c r="N186" i="3" s="1"/>
  <c r="L179" i="3"/>
  <c r="O179" i="3" s="1"/>
  <c r="L145" i="3"/>
  <c r="O145" i="3" s="1"/>
  <c r="L96" i="3"/>
  <c r="L94" i="3" s="1"/>
  <c r="O94" i="3" s="1"/>
  <c r="O341" i="3"/>
  <c r="P338" i="3"/>
  <c r="L254" i="3"/>
  <c r="O254" i="3" s="1"/>
  <c r="L203" i="3"/>
  <c r="O203" i="3" s="1"/>
  <c r="N159" i="3"/>
  <c r="N157" i="3" s="1"/>
  <c r="M131" i="3"/>
  <c r="P131" i="3" s="1"/>
  <c r="M128" i="3"/>
  <c r="P128" i="3" s="1"/>
  <c r="L78" i="3"/>
  <c r="O78" i="3" s="1"/>
  <c r="L75" i="3"/>
  <c r="O75" i="3" s="1"/>
  <c r="K371" i="3"/>
  <c r="K368" i="3"/>
  <c r="I241" i="2"/>
  <c r="K241" i="2" s="1"/>
  <c r="K220" i="3"/>
  <c r="O191" i="3"/>
  <c r="L141" i="3"/>
  <c r="L139" i="3" s="1"/>
  <c r="O139" i="3" s="1"/>
  <c r="I240" i="3"/>
  <c r="K240" i="3" s="1"/>
  <c r="P336" i="2"/>
  <c r="P385" i="3"/>
  <c r="M379" i="3"/>
  <c r="M377" i="3" s="1"/>
  <c r="P377" i="3" s="1"/>
  <c r="M358" i="3"/>
  <c r="K346" i="3"/>
  <c r="O308" i="3"/>
  <c r="K292" i="3"/>
  <c r="L285" i="3"/>
  <c r="O285" i="3" s="1"/>
  <c r="K249" i="3"/>
  <c r="L214" i="3"/>
  <c r="O214" i="3" s="1"/>
  <c r="M23" i="3"/>
  <c r="M21" i="3" s="1"/>
  <c r="I136" i="3"/>
  <c r="K136" i="3" s="1"/>
  <c r="N74" i="3"/>
  <c r="N72" i="3" s="1"/>
  <c r="L75" i="1"/>
  <c r="O385" i="3"/>
  <c r="P364" i="3"/>
  <c r="J332" i="3"/>
  <c r="K332" i="3" s="1"/>
  <c r="P325" i="3"/>
  <c r="M284" i="3"/>
  <c r="P284" i="3" s="1"/>
  <c r="L284" i="3"/>
  <c r="L282" i="3" s="1"/>
  <c r="O282" i="3" s="1"/>
  <c r="M268" i="3"/>
  <c r="L192" i="3"/>
  <c r="O192" i="3" s="1"/>
  <c r="L175" i="3"/>
  <c r="L163" i="3"/>
  <c r="O163" i="3" s="1"/>
  <c r="O144" i="3"/>
  <c r="M142" i="3"/>
  <c r="P142" i="3" s="1"/>
  <c r="P102" i="3"/>
  <c r="M100" i="3"/>
  <c r="P100" i="3" s="1"/>
  <c r="M96" i="3"/>
  <c r="N179" i="1"/>
  <c r="K369" i="3"/>
  <c r="O364" i="3"/>
  <c r="K344" i="3"/>
  <c r="N322" i="3"/>
  <c r="N320" i="3" s="1"/>
  <c r="M305" i="3"/>
  <c r="P305" i="3" s="1"/>
  <c r="P290" i="3"/>
  <c r="K229" i="3"/>
  <c r="L222" i="3"/>
  <c r="O222" i="3" s="1"/>
  <c r="P191" i="3"/>
  <c r="I156" i="3"/>
  <c r="K156" i="3" s="1"/>
  <c r="L142" i="3"/>
  <c r="O142" i="3" s="1"/>
  <c r="I83" i="3"/>
  <c r="K83" i="3" s="1"/>
  <c r="P361" i="3"/>
  <c r="K314" i="3"/>
  <c r="K293" i="3"/>
  <c r="L243" i="3"/>
  <c r="L189" i="3"/>
  <c r="O189" i="3" s="1"/>
  <c r="M26" i="3"/>
  <c r="M24" i="3" s="1"/>
  <c r="P24" i="3" s="1"/>
  <c r="L131" i="3"/>
  <c r="O131" i="3" s="1"/>
  <c r="O133" i="3"/>
  <c r="L127" i="3"/>
  <c r="L125" i="3" s="1"/>
  <c r="O125" i="3" s="1"/>
  <c r="O361" i="3"/>
  <c r="N359" i="3"/>
  <c r="O359" i="3" s="1"/>
  <c r="L288" i="3"/>
  <c r="O288" i="3" s="1"/>
  <c r="L159" i="3"/>
  <c r="O159" i="3" s="1"/>
  <c r="I82" i="3"/>
  <c r="K82" i="3" s="1"/>
  <c r="L61" i="3"/>
  <c r="L59" i="3" s="1"/>
  <c r="L46" i="3"/>
  <c r="L44" i="3" s="1"/>
  <c r="O176" i="3"/>
  <c r="I231" i="3"/>
  <c r="K242" i="3"/>
  <c r="L379" i="3"/>
  <c r="O338" i="3"/>
  <c r="L335" i="3"/>
  <c r="L323" i="3"/>
  <c r="O323" i="3" s="1"/>
  <c r="O325" i="3"/>
  <c r="O311" i="3"/>
  <c r="N179" i="3"/>
  <c r="N23" i="3"/>
  <c r="M131" i="1"/>
  <c r="P131" i="1" s="1"/>
  <c r="M359" i="3"/>
  <c r="L358" i="3"/>
  <c r="N335" i="3"/>
  <c r="N333" i="3" s="1"/>
  <c r="P328" i="3"/>
  <c r="L322" i="3"/>
  <c r="O322" i="3" s="1"/>
  <c r="N305" i="3"/>
  <c r="N303" i="3" s="1"/>
  <c r="I238" i="3"/>
  <c r="K238" i="3" s="1"/>
  <c r="K213" i="3"/>
  <c r="M179" i="3"/>
  <c r="P179" i="3" s="1"/>
  <c r="P181" i="3"/>
  <c r="M159" i="3"/>
  <c r="P159" i="3" s="1"/>
  <c r="O130" i="3"/>
  <c r="N61" i="3"/>
  <c r="N59" i="3" s="1"/>
  <c r="M47" i="3"/>
  <c r="P49" i="3"/>
  <c r="L23" i="3"/>
  <c r="M322" i="3"/>
  <c r="P322" i="3" s="1"/>
  <c r="O271" i="3"/>
  <c r="N47" i="3"/>
  <c r="O47" i="3" s="1"/>
  <c r="I365" i="3"/>
  <c r="K365" i="3" s="1"/>
  <c r="J343" i="3"/>
  <c r="L305" i="3"/>
  <c r="L236" i="3"/>
  <c r="I241" i="3"/>
  <c r="K241" i="3" s="1"/>
  <c r="I172" i="3"/>
  <c r="K172" i="3" s="1"/>
  <c r="N96" i="3"/>
  <c r="N94" i="3" s="1"/>
  <c r="M78" i="3"/>
  <c r="P78" i="3" s="1"/>
  <c r="P80" i="3"/>
  <c r="N46" i="3"/>
  <c r="N44" i="3" s="1"/>
  <c r="M176" i="3"/>
  <c r="P176" i="3" s="1"/>
  <c r="P178" i="3"/>
  <c r="K152" i="3"/>
  <c r="I137" i="3"/>
  <c r="K137" i="3" s="1"/>
  <c r="K369" i="2"/>
  <c r="O325" i="2"/>
  <c r="P181" i="2"/>
  <c r="N379" i="3"/>
  <c r="N377" i="3" s="1"/>
  <c r="P336" i="3"/>
  <c r="L326" i="3"/>
  <c r="O326" i="3" s="1"/>
  <c r="O328" i="3"/>
  <c r="N268" i="3"/>
  <c r="N266" i="3" s="1"/>
  <c r="L235" i="3"/>
  <c r="L26" i="3"/>
  <c r="O26" i="3" s="1"/>
  <c r="L100" i="3"/>
  <c r="O100" i="3" s="1"/>
  <c r="M75" i="3"/>
  <c r="P75" i="3" s="1"/>
  <c r="P77" i="3"/>
  <c r="N26" i="3"/>
  <c r="N24" i="3" s="1"/>
  <c r="N50" i="3"/>
  <c r="M163" i="3"/>
  <c r="P163" i="3" s="1"/>
  <c r="P165" i="3"/>
  <c r="N75" i="3"/>
  <c r="N322" i="2"/>
  <c r="N320" i="2" s="1"/>
  <c r="K314" i="2"/>
  <c r="M175" i="2"/>
  <c r="M173" i="2" s="1"/>
  <c r="P102" i="2"/>
  <c r="P99" i="2"/>
  <c r="M335" i="3"/>
  <c r="L336" i="3"/>
  <c r="O336" i="3" s="1"/>
  <c r="L268" i="3"/>
  <c r="L233" i="3"/>
  <c r="P189" i="3"/>
  <c r="M175" i="3"/>
  <c r="M160" i="3"/>
  <c r="P160" i="3" s="1"/>
  <c r="P162" i="3"/>
  <c r="O64" i="3"/>
  <c r="N62" i="3"/>
  <c r="O62" i="3" s="1"/>
  <c r="M50" i="3"/>
  <c r="P50" i="3" s="1"/>
  <c r="P52" i="3"/>
  <c r="O25" i="3"/>
  <c r="N284" i="3"/>
  <c r="N282" i="3" s="1"/>
  <c r="M188" i="3"/>
  <c r="N141" i="3"/>
  <c r="N139" i="3" s="1"/>
  <c r="N127" i="3"/>
  <c r="N125" i="3" s="1"/>
  <c r="M61" i="3"/>
  <c r="P308" i="3"/>
  <c r="P271" i="3"/>
  <c r="L188" i="3"/>
  <c r="O178" i="3"/>
  <c r="O162" i="3"/>
  <c r="M141" i="3"/>
  <c r="M127" i="3"/>
  <c r="P99" i="3"/>
  <c r="O77" i="3"/>
  <c r="O49" i="3"/>
  <c r="O160" i="2"/>
  <c r="O189" i="2"/>
  <c r="O52" i="2"/>
  <c r="P385" i="2"/>
  <c r="L236" i="2"/>
  <c r="M192" i="2"/>
  <c r="P192" i="2" s="1"/>
  <c r="M176" i="2"/>
  <c r="I169" i="2"/>
  <c r="K169" i="2" s="1"/>
  <c r="K153" i="2"/>
  <c r="M74" i="2"/>
  <c r="P74" i="2" s="1"/>
  <c r="K220" i="2"/>
  <c r="L192" i="2"/>
  <c r="O192" i="2" s="1"/>
  <c r="N127" i="2"/>
  <c r="N125" i="2" s="1"/>
  <c r="N96" i="2"/>
  <c r="N94" i="2" s="1"/>
  <c r="M46" i="2"/>
  <c r="M44" i="2" s="1"/>
  <c r="L362" i="2"/>
  <c r="O362" i="2" s="1"/>
  <c r="K346" i="2"/>
  <c r="P308" i="2"/>
  <c r="N284" i="2"/>
  <c r="N282" i="2" s="1"/>
  <c r="I202" i="2"/>
  <c r="K202" i="2" s="1"/>
  <c r="N25" i="1"/>
  <c r="N309" i="1"/>
  <c r="P361" i="1"/>
  <c r="O308" i="2"/>
  <c r="L233" i="2"/>
  <c r="P165" i="2"/>
  <c r="O147" i="2"/>
  <c r="O77" i="2"/>
  <c r="N47" i="1"/>
  <c r="N163" i="1"/>
  <c r="L179" i="1"/>
  <c r="O179" i="1" s="1"/>
  <c r="K220" i="1"/>
  <c r="M379" i="2"/>
  <c r="P379" i="2" s="1"/>
  <c r="M305" i="2"/>
  <c r="M303" i="2" s="1"/>
  <c r="P303" i="2" s="1"/>
  <c r="N305" i="2"/>
  <c r="N303" i="2" s="1"/>
  <c r="L234" i="2"/>
  <c r="M159" i="2"/>
  <c r="P159" i="2" s="1"/>
  <c r="N141" i="2"/>
  <c r="N139" i="2" s="1"/>
  <c r="O64" i="2"/>
  <c r="K371" i="2"/>
  <c r="J343" i="2"/>
  <c r="K292" i="2"/>
  <c r="J332" i="2"/>
  <c r="L305" i="2"/>
  <c r="O305" i="2" s="1"/>
  <c r="L179" i="2"/>
  <c r="O179" i="2" s="1"/>
  <c r="I82" i="2"/>
  <c r="I70" i="2" s="1"/>
  <c r="K70" i="2" s="1"/>
  <c r="N269" i="1"/>
  <c r="P382" i="2"/>
  <c r="K368" i="2"/>
  <c r="N358" i="2"/>
  <c r="N356" i="2" s="1"/>
  <c r="L359" i="2"/>
  <c r="O359" i="2" s="1"/>
  <c r="O341" i="2"/>
  <c r="I332" i="2"/>
  <c r="L322" i="2"/>
  <c r="L320" i="2" s="1"/>
  <c r="P274" i="2"/>
  <c r="L254" i="2"/>
  <c r="O254" i="2" s="1"/>
  <c r="K249" i="2"/>
  <c r="L188" i="2"/>
  <c r="O178" i="2"/>
  <c r="I172" i="2"/>
  <c r="K172" i="2" s="1"/>
  <c r="O144" i="2"/>
  <c r="N142" i="2"/>
  <c r="O142" i="2" s="1"/>
  <c r="K108" i="2"/>
  <c r="M96" i="2"/>
  <c r="M94" i="2" s="1"/>
  <c r="P94" i="2" s="1"/>
  <c r="O80" i="2"/>
  <c r="L74" i="2"/>
  <c r="L72" i="2" s="1"/>
  <c r="O72" i="2" s="1"/>
  <c r="O22" i="2"/>
  <c r="O64" i="1"/>
  <c r="I83" i="1"/>
  <c r="I71" i="1" s="1"/>
  <c r="K88" i="1"/>
  <c r="N192" i="1"/>
  <c r="N379" i="2"/>
  <c r="N377" i="2" s="1"/>
  <c r="M380" i="2"/>
  <c r="P380" i="2" s="1"/>
  <c r="P359" i="2"/>
  <c r="M339" i="2"/>
  <c r="P339" i="2" s="1"/>
  <c r="P290" i="2"/>
  <c r="O274" i="2"/>
  <c r="L163" i="2"/>
  <c r="O163" i="2" s="1"/>
  <c r="M78" i="2"/>
  <c r="P78" i="2" s="1"/>
  <c r="M61" i="2"/>
  <c r="M59" i="2" s="1"/>
  <c r="O49" i="2"/>
  <c r="M47" i="2"/>
  <c r="P47" i="2" s="1"/>
  <c r="I213" i="1"/>
  <c r="K213" i="1" s="1"/>
  <c r="N288" i="1"/>
  <c r="O328" i="2"/>
  <c r="I319" i="2"/>
  <c r="K319" i="2" s="1"/>
  <c r="K293" i="2"/>
  <c r="P287" i="2"/>
  <c r="O271" i="2"/>
  <c r="I238" i="2"/>
  <c r="K238" i="2" s="1"/>
  <c r="L222" i="2"/>
  <c r="O222" i="2" s="1"/>
  <c r="L214" i="2"/>
  <c r="O214" i="2" s="1"/>
  <c r="L175" i="2"/>
  <c r="L173" i="2" s="1"/>
  <c r="M160" i="2"/>
  <c r="P160" i="2" s="1"/>
  <c r="M19" i="2"/>
  <c r="P325" i="2"/>
  <c r="N285" i="2"/>
  <c r="N268" i="2"/>
  <c r="N266" i="2" s="1"/>
  <c r="L268" i="2"/>
  <c r="O268" i="2" s="1"/>
  <c r="L235" i="2"/>
  <c r="I365" i="2"/>
  <c r="K365" i="2" s="1"/>
  <c r="L335" i="2"/>
  <c r="N306" i="2"/>
  <c r="M284" i="2"/>
  <c r="K213" i="2"/>
  <c r="L203" i="2"/>
  <c r="O203" i="2" s="1"/>
  <c r="L159" i="2"/>
  <c r="L157" i="2" s="1"/>
  <c r="O130" i="2"/>
  <c r="N128" i="2"/>
  <c r="N97" i="2"/>
  <c r="M75" i="2"/>
  <c r="P75" i="2" s="1"/>
  <c r="L46" i="2"/>
  <c r="L44" i="2" s="1"/>
  <c r="L336" i="2"/>
  <c r="O336" i="2" s="1"/>
  <c r="P133" i="2"/>
  <c r="M131" i="2"/>
  <c r="P131" i="2" s="1"/>
  <c r="L23" i="1"/>
  <c r="L203" i="1"/>
  <c r="N222" i="1"/>
  <c r="K292" i="1"/>
  <c r="O385" i="2"/>
  <c r="O382" i="2"/>
  <c r="P364" i="2"/>
  <c r="P361" i="2"/>
  <c r="O357" i="2"/>
  <c r="P311" i="2"/>
  <c r="O290" i="2"/>
  <c r="L243" i="2"/>
  <c r="I240" i="2"/>
  <c r="K240" i="2" s="1"/>
  <c r="P189" i="2"/>
  <c r="P19" i="2"/>
  <c r="M322" i="2"/>
  <c r="O99" i="2"/>
  <c r="L97" i="2"/>
  <c r="O97" i="2" s="1"/>
  <c r="M28" i="1"/>
  <c r="P28" i="1" s="1"/>
  <c r="J82" i="1"/>
  <c r="J70" i="1" s="1"/>
  <c r="M176" i="1"/>
  <c r="M187" i="1"/>
  <c r="P187" i="1" s="1"/>
  <c r="M326" i="1"/>
  <c r="P326" i="1" s="1"/>
  <c r="N26" i="1"/>
  <c r="J332" i="1"/>
  <c r="O361" i="2"/>
  <c r="N335" i="2"/>
  <c r="N333" i="2" s="1"/>
  <c r="N323" i="2"/>
  <c r="O323" i="2" s="1"/>
  <c r="O321" i="2"/>
  <c r="O311" i="2"/>
  <c r="P191" i="2"/>
  <c r="N175" i="2"/>
  <c r="N159" i="2"/>
  <c r="N157" i="2" s="1"/>
  <c r="K152" i="2"/>
  <c r="I137" i="2"/>
  <c r="K137" i="2" s="1"/>
  <c r="P147" i="2"/>
  <c r="M145" i="2"/>
  <c r="P145" i="2" s="1"/>
  <c r="P130" i="2"/>
  <c r="M23" i="2"/>
  <c r="M128" i="2"/>
  <c r="P128" i="2" s="1"/>
  <c r="M127" i="2"/>
  <c r="P60" i="2"/>
  <c r="L26" i="2"/>
  <c r="O26" i="2" s="1"/>
  <c r="N26" i="2"/>
  <c r="N24" i="2" s="1"/>
  <c r="N78" i="1"/>
  <c r="L269" i="1"/>
  <c r="O269" i="1" s="1"/>
  <c r="M304" i="1"/>
  <c r="P304" i="1" s="1"/>
  <c r="N326" i="1"/>
  <c r="O338" i="2"/>
  <c r="P328" i="2"/>
  <c r="P271" i="2"/>
  <c r="M268" i="2"/>
  <c r="I231" i="2"/>
  <c r="K242" i="2"/>
  <c r="O191" i="2"/>
  <c r="N188" i="2"/>
  <c r="N186" i="2" s="1"/>
  <c r="P174" i="2"/>
  <c r="K167" i="2"/>
  <c r="I168" i="2"/>
  <c r="K168" i="2" s="1"/>
  <c r="O162" i="2"/>
  <c r="O140" i="2"/>
  <c r="O47" i="2"/>
  <c r="O25" i="2"/>
  <c r="L50" i="1"/>
  <c r="O50" i="1" s="1"/>
  <c r="P64" i="1"/>
  <c r="L26" i="1"/>
  <c r="O26" i="1" s="1"/>
  <c r="L158" i="1"/>
  <c r="O158" i="1" s="1"/>
  <c r="P177" i="1"/>
  <c r="O191" i="1"/>
  <c r="L379" i="2"/>
  <c r="O379" i="2" s="1"/>
  <c r="M358" i="2"/>
  <c r="P334" i="2"/>
  <c r="M309" i="2"/>
  <c r="P309" i="2" s="1"/>
  <c r="I195" i="2"/>
  <c r="K195" i="2" s="1"/>
  <c r="N176" i="2"/>
  <c r="P178" i="2"/>
  <c r="P144" i="2"/>
  <c r="M142" i="2"/>
  <c r="O102" i="2"/>
  <c r="L100" i="2"/>
  <c r="O100" i="2" s="1"/>
  <c r="P64" i="2"/>
  <c r="N62" i="2"/>
  <c r="P62" i="2" s="1"/>
  <c r="P77" i="1"/>
  <c r="K89" i="1"/>
  <c r="K368" i="1"/>
  <c r="J351" i="2"/>
  <c r="P338" i="2"/>
  <c r="N326" i="2"/>
  <c r="L284" i="2"/>
  <c r="O284" i="2" s="1"/>
  <c r="I136" i="2"/>
  <c r="K136" i="2" s="1"/>
  <c r="K154" i="2"/>
  <c r="M141" i="2"/>
  <c r="L96" i="2"/>
  <c r="O96" i="2" s="1"/>
  <c r="K87" i="2"/>
  <c r="I83" i="2"/>
  <c r="N61" i="2"/>
  <c r="N59" i="2" s="1"/>
  <c r="M26" i="2"/>
  <c r="P26" i="2" s="1"/>
  <c r="O19" i="2"/>
  <c r="M335" i="2"/>
  <c r="M188" i="2"/>
  <c r="P162" i="2"/>
  <c r="I93" i="2"/>
  <c r="K93" i="2" s="1"/>
  <c r="P77" i="2"/>
  <c r="P49" i="2"/>
  <c r="L61" i="2"/>
  <c r="N23" i="2"/>
  <c r="L141" i="2"/>
  <c r="L127" i="2"/>
  <c r="O127" i="2" s="1"/>
  <c r="N74" i="2"/>
  <c r="N72" i="2" s="1"/>
  <c r="L65" i="2"/>
  <c r="O65" i="2" s="1"/>
  <c r="L62" i="2"/>
  <c r="N46" i="2"/>
  <c r="N44" i="2" s="1"/>
  <c r="K260" i="2"/>
  <c r="K229" i="2"/>
  <c r="N50" i="2"/>
  <c r="L23" i="2"/>
  <c r="P22" i="2"/>
  <c r="O51" i="1"/>
  <c r="N53" i="1"/>
  <c r="J83" i="1"/>
  <c r="J71" i="1" s="1"/>
  <c r="M97" i="1"/>
  <c r="K109" i="1"/>
  <c r="N131" i="1"/>
  <c r="L140" i="1"/>
  <c r="O140" i="1" s="1"/>
  <c r="N145" i="1"/>
  <c r="M174" i="1"/>
  <c r="P174" i="1" s="1"/>
  <c r="K369" i="1"/>
  <c r="M359" i="1"/>
  <c r="N22" i="1"/>
  <c r="P132" i="1"/>
  <c r="K137" i="1"/>
  <c r="L176" i="1"/>
  <c r="O178" i="1"/>
  <c r="L309" i="1"/>
  <c r="O309" i="1" s="1"/>
  <c r="N339" i="1"/>
  <c r="M357" i="1"/>
  <c r="P357" i="1" s="1"/>
  <c r="L96" i="1"/>
  <c r="L305" i="1"/>
  <c r="N46" i="1"/>
  <c r="N62" i="1"/>
  <c r="N65" i="1"/>
  <c r="O76" i="1"/>
  <c r="I82" i="1"/>
  <c r="I70" i="1" s="1"/>
  <c r="O102" i="1"/>
  <c r="N127" i="1"/>
  <c r="L142" i="1"/>
  <c r="L188" i="1"/>
  <c r="P191" i="1"/>
  <c r="K198" i="1"/>
  <c r="K346" i="1"/>
  <c r="M145" i="1"/>
  <c r="P145" i="1" s="1"/>
  <c r="N27" i="1"/>
  <c r="K90" i="1"/>
  <c r="M141" i="1"/>
  <c r="K281" i="1"/>
  <c r="K151" i="1"/>
  <c r="N158" i="1"/>
  <c r="J199" i="1"/>
  <c r="L232" i="1"/>
  <c r="O308" i="1"/>
  <c r="O310" i="1"/>
  <c r="K302" i="1"/>
  <c r="P327" i="1"/>
  <c r="N335" i="1"/>
  <c r="L358" i="1"/>
  <c r="O358" i="1" s="1"/>
  <c r="P382" i="1"/>
  <c r="M159" i="1"/>
  <c r="P159" i="1" s="1"/>
  <c r="L131" i="1"/>
  <c r="O131" i="1" s="1"/>
  <c r="O287" i="1"/>
  <c r="M50" i="1"/>
  <c r="P50" i="1" s="1"/>
  <c r="M75" i="1"/>
  <c r="L25" i="1"/>
  <c r="K85" i="1"/>
  <c r="J93" i="1"/>
  <c r="K93" i="1" s="1"/>
  <c r="M100" i="1"/>
  <c r="P100" i="1" s="1"/>
  <c r="K117" i="1"/>
  <c r="M188" i="1"/>
  <c r="J195" i="1"/>
  <c r="K195" i="1" s="1"/>
  <c r="N214" i="1"/>
  <c r="M285" i="1"/>
  <c r="P286" i="1"/>
  <c r="M283" i="1"/>
  <c r="P283" i="1" s="1"/>
  <c r="O338" i="1"/>
  <c r="O361" i="1"/>
  <c r="K293" i="1"/>
  <c r="I280" i="1"/>
  <c r="K280" i="1" s="1"/>
  <c r="M26" i="1"/>
  <c r="P26" i="1" s="1"/>
  <c r="N96" i="1"/>
  <c r="J351" i="1"/>
  <c r="M45" i="1"/>
  <c r="P45" i="1" s="1"/>
  <c r="N23" i="1"/>
  <c r="N45" i="1"/>
  <c r="N50" i="1"/>
  <c r="L65" i="1"/>
  <c r="O65" i="1" s="1"/>
  <c r="N75" i="1"/>
  <c r="N95" i="1"/>
  <c r="K108" i="1"/>
  <c r="M127" i="1"/>
  <c r="P127" i="1" s="1"/>
  <c r="L145" i="1"/>
  <c r="O145" i="1" s="1"/>
  <c r="O146" i="1"/>
  <c r="K152" i="1"/>
  <c r="N188" i="1"/>
  <c r="M336" i="1"/>
  <c r="P337" i="1"/>
  <c r="M334" i="1"/>
  <c r="P334" i="1" s="1"/>
  <c r="M25" i="1"/>
  <c r="P25" i="1" s="1"/>
  <c r="O49" i="1"/>
  <c r="M65" i="1"/>
  <c r="P65" i="1" s="1"/>
  <c r="L95" i="1"/>
  <c r="O95" i="1" s="1"/>
  <c r="I168" i="1"/>
  <c r="K167" i="1"/>
  <c r="O180" i="1"/>
  <c r="N189" i="1"/>
  <c r="L284" i="1"/>
  <c r="O284" i="1" s="1"/>
  <c r="K296" i="1"/>
  <c r="L321" i="1"/>
  <c r="O321" i="1" s="1"/>
  <c r="O324" i="1"/>
  <c r="L74" i="1"/>
  <c r="O74" i="1" s="1"/>
  <c r="M60" i="1"/>
  <c r="P60" i="1" s="1"/>
  <c r="L126" i="1"/>
  <c r="O126" i="1" s="1"/>
  <c r="O132" i="1"/>
  <c r="L29" i="1"/>
  <c r="O29" i="1" s="1"/>
  <c r="P49" i="1"/>
  <c r="O77" i="1"/>
  <c r="L97" i="1"/>
  <c r="L100" i="1"/>
  <c r="O100" i="1" s="1"/>
  <c r="P130" i="1"/>
  <c r="K150" i="1"/>
  <c r="K138" i="1"/>
  <c r="L159" i="1"/>
  <c r="O162" i="1"/>
  <c r="O181" i="1"/>
  <c r="L175" i="1"/>
  <c r="K319" i="1"/>
  <c r="L335" i="1"/>
  <c r="N159" i="1"/>
  <c r="M179" i="1"/>
  <c r="P179" i="1" s="1"/>
  <c r="L189" i="1"/>
  <c r="N203" i="1"/>
  <c r="K209" i="1"/>
  <c r="O270" i="1"/>
  <c r="J343" i="1"/>
  <c r="L378" i="1"/>
  <c r="O378" i="1" s="1"/>
  <c r="N141" i="1"/>
  <c r="P141" i="1" s="1"/>
  <c r="K136" i="1"/>
  <c r="K183" i="1"/>
  <c r="O196" i="1"/>
  <c r="K228" i="1"/>
  <c r="L267" i="1"/>
  <c r="O267" i="1" s="1"/>
  <c r="N272" i="1"/>
  <c r="L288" i="1"/>
  <c r="O288" i="1" s="1"/>
  <c r="N304" i="1"/>
  <c r="N323" i="1"/>
  <c r="L380" i="1"/>
  <c r="O380" i="1" s="1"/>
  <c r="N380" i="1"/>
  <c r="L222" i="1"/>
  <c r="K229" i="1"/>
  <c r="N268" i="1"/>
  <c r="K295" i="1"/>
  <c r="K316" i="1"/>
  <c r="K330" i="1"/>
  <c r="P338" i="1"/>
  <c r="N362" i="1"/>
  <c r="N383" i="1"/>
  <c r="L73" i="1"/>
  <c r="M74" i="1"/>
  <c r="P74" i="1" s="1"/>
  <c r="M96" i="1"/>
  <c r="N283" i="1"/>
  <c r="N282" i="1" s="1"/>
  <c r="N285" i="1"/>
  <c r="L22" i="1"/>
  <c r="M23" i="1"/>
  <c r="L28" i="1"/>
  <c r="M29" i="1"/>
  <c r="L47" i="1"/>
  <c r="L53" i="1"/>
  <c r="O53" i="1" s="1"/>
  <c r="L62" i="1"/>
  <c r="M73" i="1"/>
  <c r="L78" i="1"/>
  <c r="O78" i="1" s="1"/>
  <c r="I92" i="1"/>
  <c r="K92" i="1" s="1"/>
  <c r="M95" i="1"/>
  <c r="N126" i="1"/>
  <c r="L128" i="1"/>
  <c r="O128" i="1" s="1"/>
  <c r="N142" i="1"/>
  <c r="O144" i="1"/>
  <c r="L141" i="1"/>
  <c r="L160" i="1"/>
  <c r="P180" i="1"/>
  <c r="L214" i="1"/>
  <c r="K219" i="1"/>
  <c r="K230" i="1"/>
  <c r="N232" i="1"/>
  <c r="L272" i="1"/>
  <c r="O272" i="1" s="1"/>
  <c r="O273" i="1"/>
  <c r="M306" i="1"/>
  <c r="P308" i="1"/>
  <c r="M305" i="1"/>
  <c r="L339" i="1"/>
  <c r="O339" i="1" s="1"/>
  <c r="O341" i="1"/>
  <c r="P161" i="1"/>
  <c r="M158" i="1"/>
  <c r="I172" i="1"/>
  <c r="K172" i="1" s="1"/>
  <c r="M268" i="1"/>
  <c r="P268" i="1" s="1"/>
  <c r="M272" i="1"/>
  <c r="P272" i="1" s="1"/>
  <c r="K371" i="1"/>
  <c r="I365" i="1"/>
  <c r="K365" i="1" s="1"/>
  <c r="M22" i="1"/>
  <c r="L46" i="1"/>
  <c r="M47" i="1"/>
  <c r="M53" i="1"/>
  <c r="P53" i="1" s="1"/>
  <c r="L61" i="1"/>
  <c r="O61" i="1" s="1"/>
  <c r="M62" i="1"/>
  <c r="N73" i="1"/>
  <c r="N72" i="1" s="1"/>
  <c r="M78" i="1"/>
  <c r="P78" i="1" s="1"/>
  <c r="O80" i="1"/>
  <c r="O99" i="1"/>
  <c r="N128" i="1"/>
  <c r="O130" i="1"/>
  <c r="L127" i="1"/>
  <c r="O127" i="1" s="1"/>
  <c r="M160" i="1"/>
  <c r="P160" i="1" s="1"/>
  <c r="M163" i="1"/>
  <c r="P163" i="1" s="1"/>
  <c r="P178" i="1"/>
  <c r="M175" i="1"/>
  <c r="L187" i="1"/>
  <c r="P193" i="1"/>
  <c r="M192" i="1"/>
  <c r="P192" i="1" s="1"/>
  <c r="K238" i="1"/>
  <c r="O271" i="1"/>
  <c r="L268" i="1"/>
  <c r="O268" i="1" s="1"/>
  <c r="L306" i="1"/>
  <c r="O307" i="1"/>
  <c r="L304" i="1"/>
  <c r="K317" i="1"/>
  <c r="N321" i="1"/>
  <c r="N320" i="1" s="1"/>
  <c r="N336" i="1"/>
  <c r="N334" i="1"/>
  <c r="M380" i="1"/>
  <c r="P380" i="1" s="1"/>
  <c r="P381" i="1"/>
  <c r="M378" i="1"/>
  <c r="L45" i="1"/>
  <c r="M46" i="1"/>
  <c r="L60" i="1"/>
  <c r="M61" i="1"/>
  <c r="O79" i="1"/>
  <c r="P80" i="1"/>
  <c r="P99" i="1"/>
  <c r="N160" i="1"/>
  <c r="O177" i="1"/>
  <c r="L174" i="1"/>
  <c r="M189" i="1"/>
  <c r="O190" i="1"/>
  <c r="P287" i="1"/>
  <c r="M284" i="1"/>
  <c r="P284" i="1" s="1"/>
  <c r="P322" i="1"/>
  <c r="P143" i="1"/>
  <c r="M140" i="1"/>
  <c r="M142" i="1"/>
  <c r="P144" i="1"/>
  <c r="K153" i="1"/>
  <c r="N175" i="1"/>
  <c r="L192" i="1"/>
  <c r="O192" i="1" s="1"/>
  <c r="J202" i="1"/>
  <c r="K202" i="1" s="1"/>
  <c r="L285" i="1"/>
  <c r="O286" i="1"/>
  <c r="L283" i="1"/>
  <c r="K315" i="1"/>
  <c r="L323" i="1"/>
  <c r="O325" i="1"/>
  <c r="L322" i="1"/>
  <c r="O322" i="1" s="1"/>
  <c r="L362" i="1"/>
  <c r="O362" i="1" s="1"/>
  <c r="O364" i="1"/>
  <c r="P129" i="1"/>
  <c r="M126" i="1"/>
  <c r="M128" i="1"/>
  <c r="P128" i="1" s="1"/>
  <c r="K154" i="1"/>
  <c r="O164" i="1"/>
  <c r="L163" i="1"/>
  <c r="O163" i="1" s="1"/>
  <c r="N174" i="1"/>
  <c r="N176" i="1"/>
  <c r="K221" i="1"/>
  <c r="N267" i="1"/>
  <c r="K344" i="1"/>
  <c r="I332" i="1"/>
  <c r="N359" i="1"/>
  <c r="N357" i="1"/>
  <c r="N356" i="1" s="1"/>
  <c r="N306" i="1"/>
  <c r="M323" i="1"/>
  <c r="M339" i="1"/>
  <c r="P339" i="1" s="1"/>
  <c r="M362" i="1"/>
  <c r="P362" i="1" s="1"/>
  <c r="N379" i="1"/>
  <c r="L383" i="1"/>
  <c r="O383" i="1" s="1"/>
  <c r="K314" i="1"/>
  <c r="P325" i="1"/>
  <c r="M383" i="1"/>
  <c r="P383" i="1" s="1"/>
  <c r="M269" i="1"/>
  <c r="P269" i="1" s="1"/>
  <c r="M288" i="1"/>
  <c r="P288" i="1" s="1"/>
  <c r="M309" i="1"/>
  <c r="P309" i="1" s="1"/>
  <c r="M321" i="1"/>
  <c r="L326" i="1"/>
  <c r="O326" i="1" s="1"/>
  <c r="L336" i="1"/>
  <c r="L359" i="1"/>
  <c r="M267" i="1"/>
  <c r="L334" i="1"/>
  <c r="M335" i="1"/>
  <c r="L357" i="1"/>
  <c r="M358" i="1"/>
  <c r="P358" i="1" s="1"/>
  <c r="L379" i="1"/>
  <c r="O379" i="1" s="1"/>
  <c r="O175" i="22" l="1"/>
  <c r="N173" i="22"/>
  <c r="O173" i="22" s="1"/>
  <c r="P358" i="21"/>
  <c r="O44" i="22"/>
  <c r="P175" i="22"/>
  <c r="L24" i="22"/>
  <c r="O24" i="22" s="1"/>
  <c r="P358" i="22"/>
  <c r="L377" i="22"/>
  <c r="O377" i="22" s="1"/>
  <c r="P62" i="21"/>
  <c r="P336" i="21"/>
  <c r="L266" i="22"/>
  <c r="O266" i="22" s="1"/>
  <c r="O186" i="22"/>
  <c r="I71" i="22"/>
  <c r="K71" i="22" s="1"/>
  <c r="L157" i="22"/>
  <c r="O157" i="22" s="1"/>
  <c r="O336" i="21"/>
  <c r="P335" i="21"/>
  <c r="M72" i="22"/>
  <c r="P72" i="22" s="1"/>
  <c r="N303" i="1"/>
  <c r="O305" i="1"/>
  <c r="P358" i="19"/>
  <c r="M282" i="22"/>
  <c r="P282" i="22" s="1"/>
  <c r="M320" i="22"/>
  <c r="P320" i="22" s="1"/>
  <c r="M139" i="21"/>
  <c r="P139" i="21" s="1"/>
  <c r="O282" i="21"/>
  <c r="M94" i="22"/>
  <c r="P94" i="22" s="1"/>
  <c r="O46" i="22"/>
  <c r="N356" i="22"/>
  <c r="P356" i="22" s="1"/>
  <c r="K82" i="22"/>
  <c r="L303" i="22"/>
  <c r="O303" i="22" s="1"/>
  <c r="L125" i="20"/>
  <c r="O125" i="20" s="1"/>
  <c r="O159" i="21"/>
  <c r="P46" i="22"/>
  <c r="P186" i="21"/>
  <c r="O188" i="22"/>
  <c r="P335" i="22"/>
  <c r="L125" i="22"/>
  <c r="O125" i="22" s="1"/>
  <c r="L72" i="22"/>
  <c r="O72" i="22" s="1"/>
  <c r="P26" i="22"/>
  <c r="M24" i="22"/>
  <c r="P24" i="22" s="1"/>
  <c r="O19" i="22"/>
  <c r="I231" i="22"/>
  <c r="K242" i="22"/>
  <c r="M303" i="22"/>
  <c r="P303" i="22" s="1"/>
  <c r="P305" i="22"/>
  <c r="O284" i="21"/>
  <c r="P284" i="21"/>
  <c r="O46" i="21"/>
  <c r="O306" i="21"/>
  <c r="M125" i="21"/>
  <c r="P125" i="21" s="1"/>
  <c r="P159" i="22"/>
  <c r="M157" i="22"/>
  <c r="P157" i="22" s="1"/>
  <c r="M20" i="22"/>
  <c r="M18" i="22" s="1"/>
  <c r="P23" i="22"/>
  <c r="P19" i="22"/>
  <c r="O61" i="22"/>
  <c r="L59" i="22"/>
  <c r="O243" i="22"/>
  <c r="L232" i="22"/>
  <c r="K332" i="22"/>
  <c r="L356" i="22"/>
  <c r="O358" i="22"/>
  <c r="P188" i="22"/>
  <c r="L282" i="22"/>
  <c r="O282" i="22" s="1"/>
  <c r="O303" i="21"/>
  <c r="P127" i="22"/>
  <c r="M125" i="22"/>
  <c r="P125" i="22" s="1"/>
  <c r="N59" i="22"/>
  <c r="P59" i="22" s="1"/>
  <c r="P61" i="22"/>
  <c r="N333" i="22"/>
  <c r="P333" i="22" s="1"/>
  <c r="M377" i="22"/>
  <c r="P377" i="22" s="1"/>
  <c r="O96" i="22"/>
  <c r="L94" i="22"/>
  <c r="O94" i="22" s="1"/>
  <c r="P44" i="22"/>
  <c r="N20" i="22"/>
  <c r="N18" i="22" s="1"/>
  <c r="N21" i="22"/>
  <c r="M173" i="22"/>
  <c r="L333" i="22"/>
  <c r="O335" i="22"/>
  <c r="P141" i="22"/>
  <c r="M139" i="22"/>
  <c r="P139" i="22" s="1"/>
  <c r="P186" i="22"/>
  <c r="O322" i="22"/>
  <c r="L320" i="22"/>
  <c r="O320" i="22" s="1"/>
  <c r="L20" i="22"/>
  <c r="L18" i="22" s="1"/>
  <c r="O23" i="22"/>
  <c r="L21" i="22"/>
  <c r="P21" i="22"/>
  <c r="L139" i="22"/>
  <c r="O139" i="22" s="1"/>
  <c r="L303" i="20"/>
  <c r="O303" i="20" s="1"/>
  <c r="L24" i="21"/>
  <c r="O24" i="21" s="1"/>
  <c r="L139" i="21"/>
  <c r="O139" i="21" s="1"/>
  <c r="P305" i="1"/>
  <c r="O157" i="21"/>
  <c r="O175" i="20"/>
  <c r="L72" i="20"/>
  <c r="O72" i="20" s="1"/>
  <c r="I231" i="21"/>
  <c r="K231" i="21" s="1"/>
  <c r="O46" i="20"/>
  <c r="P335" i="20"/>
  <c r="M282" i="20"/>
  <c r="P282" i="20" s="1"/>
  <c r="M94" i="20"/>
  <c r="P94" i="20" s="1"/>
  <c r="P282" i="21"/>
  <c r="L94" i="21"/>
  <c r="O94" i="21" s="1"/>
  <c r="O305" i="21"/>
  <c r="L44" i="21"/>
  <c r="O44" i="21" s="1"/>
  <c r="O268" i="19"/>
  <c r="M266" i="19"/>
  <c r="P266" i="19" s="1"/>
  <c r="O188" i="21"/>
  <c r="M157" i="21"/>
  <c r="P157" i="21" s="1"/>
  <c r="O186" i="21"/>
  <c r="M320" i="21"/>
  <c r="P320" i="21" s="1"/>
  <c r="M94" i="21"/>
  <c r="P94" i="21" s="1"/>
  <c r="O173" i="21"/>
  <c r="O127" i="21"/>
  <c r="L125" i="21"/>
  <c r="O125" i="21" s="1"/>
  <c r="I70" i="21"/>
  <c r="K70" i="21" s="1"/>
  <c r="K82" i="21"/>
  <c r="L72" i="19"/>
  <c r="O72" i="19" s="1"/>
  <c r="P61" i="19"/>
  <c r="O47" i="20"/>
  <c r="P175" i="20"/>
  <c r="L377" i="20"/>
  <c r="O377" i="20" s="1"/>
  <c r="P175" i="21"/>
  <c r="L377" i="21"/>
  <c r="O377" i="21" s="1"/>
  <c r="L72" i="21"/>
  <c r="O72" i="21" s="1"/>
  <c r="P46" i="21"/>
  <c r="O175" i="21"/>
  <c r="L266" i="21"/>
  <c r="O266" i="21" s="1"/>
  <c r="N40" i="21"/>
  <c r="N20" i="21"/>
  <c r="N18" i="21" s="1"/>
  <c r="N21" i="21"/>
  <c r="O21" i="21" s="1"/>
  <c r="K83" i="21"/>
  <c r="I71" i="21"/>
  <c r="K71" i="21" s="1"/>
  <c r="O335" i="21"/>
  <c r="L333" i="21"/>
  <c r="O333" i="21" s="1"/>
  <c r="P173" i="20"/>
  <c r="P305" i="21"/>
  <c r="M303" i="21"/>
  <c r="P303" i="21" s="1"/>
  <c r="O243" i="21"/>
  <c r="L232" i="21"/>
  <c r="L139" i="20"/>
  <c r="O139" i="20" s="1"/>
  <c r="M72" i="20"/>
  <c r="P72" i="20" s="1"/>
  <c r="N333" i="20"/>
  <c r="P333" i="20" s="1"/>
  <c r="O61" i="21"/>
  <c r="O285" i="21"/>
  <c r="O59" i="21"/>
  <c r="M173" i="21"/>
  <c r="P173" i="21" s="1"/>
  <c r="M356" i="21"/>
  <c r="P356" i="21" s="1"/>
  <c r="L125" i="19"/>
  <c r="O125" i="19" s="1"/>
  <c r="M24" i="21"/>
  <c r="P24" i="21" s="1"/>
  <c r="P26" i="21"/>
  <c r="P268" i="21"/>
  <c r="M266" i="21"/>
  <c r="P266" i="21" s="1"/>
  <c r="P61" i="21"/>
  <c r="O358" i="21"/>
  <c r="L356" i="21"/>
  <c r="O356" i="21" s="1"/>
  <c r="M72" i="21"/>
  <c r="P72" i="21" s="1"/>
  <c r="P268" i="20"/>
  <c r="M157" i="20"/>
  <c r="P157" i="20" s="1"/>
  <c r="M44" i="21"/>
  <c r="O359" i="21"/>
  <c r="M59" i="21"/>
  <c r="P59" i="21" s="1"/>
  <c r="P359" i="21"/>
  <c r="M333" i="21"/>
  <c r="P333" i="21" s="1"/>
  <c r="P23" i="21"/>
  <c r="M20" i="21"/>
  <c r="M21" i="21"/>
  <c r="P21" i="21" s="1"/>
  <c r="O23" i="21"/>
  <c r="L20" i="21"/>
  <c r="P189" i="21"/>
  <c r="L320" i="21"/>
  <c r="O322" i="21"/>
  <c r="P188" i="21"/>
  <c r="M377" i="21"/>
  <c r="P377" i="21" s="1"/>
  <c r="L94" i="20"/>
  <c r="O94" i="20" s="1"/>
  <c r="P358" i="20"/>
  <c r="P186" i="19"/>
  <c r="L266" i="20"/>
  <c r="O266" i="20" s="1"/>
  <c r="L139" i="18"/>
  <c r="O139" i="18" s="1"/>
  <c r="O173" i="20"/>
  <c r="M303" i="20"/>
  <c r="P303" i="20" s="1"/>
  <c r="P74" i="18"/>
  <c r="O74" i="18"/>
  <c r="K332" i="20"/>
  <c r="L282" i="19"/>
  <c r="O282" i="19" s="1"/>
  <c r="M94" i="19"/>
  <c r="P94" i="19" s="1"/>
  <c r="P186" i="18"/>
  <c r="P188" i="20"/>
  <c r="O358" i="20"/>
  <c r="P61" i="20"/>
  <c r="M377" i="20"/>
  <c r="P377" i="20" s="1"/>
  <c r="M20" i="20"/>
  <c r="M18" i="20" s="1"/>
  <c r="P23" i="20"/>
  <c r="K83" i="20"/>
  <c r="I71" i="20"/>
  <c r="K71" i="20" s="1"/>
  <c r="P19" i="20"/>
  <c r="P141" i="20"/>
  <c r="M139" i="20"/>
  <c r="P139" i="20" s="1"/>
  <c r="P359" i="20"/>
  <c r="O359" i="20"/>
  <c r="P26" i="20"/>
  <c r="M24" i="20"/>
  <c r="P24" i="20" s="1"/>
  <c r="L24" i="20"/>
  <c r="O24" i="20" s="1"/>
  <c r="O284" i="20"/>
  <c r="L282" i="20"/>
  <c r="O282" i="20" s="1"/>
  <c r="N20" i="20"/>
  <c r="N18" i="20" s="1"/>
  <c r="N21" i="20"/>
  <c r="P47" i="20"/>
  <c r="O335" i="20"/>
  <c r="P46" i="20"/>
  <c r="M44" i="20"/>
  <c r="I231" i="20"/>
  <c r="K242" i="20"/>
  <c r="O159" i="20"/>
  <c r="L157" i="20"/>
  <c r="O157" i="20" s="1"/>
  <c r="P59" i="20"/>
  <c r="N186" i="20"/>
  <c r="P186" i="20" s="1"/>
  <c r="L232" i="20"/>
  <c r="O243" i="20"/>
  <c r="L20" i="20"/>
  <c r="O23" i="20"/>
  <c r="L21" i="20"/>
  <c r="N356" i="20"/>
  <c r="O356" i="20" s="1"/>
  <c r="P188" i="19"/>
  <c r="L320" i="20"/>
  <c r="O320" i="20" s="1"/>
  <c r="O322" i="20"/>
  <c r="M21" i="20"/>
  <c r="O61" i="20"/>
  <c r="L59" i="20"/>
  <c r="L186" i="20"/>
  <c r="O188" i="20"/>
  <c r="N44" i="20"/>
  <c r="M59" i="19"/>
  <c r="P59" i="19" s="1"/>
  <c r="M320" i="19"/>
  <c r="P320" i="19" s="1"/>
  <c r="P127" i="20"/>
  <c r="M125" i="20"/>
  <c r="P125" i="20" s="1"/>
  <c r="K82" i="20"/>
  <c r="I70" i="20"/>
  <c r="K70" i="20" s="1"/>
  <c r="P336" i="20"/>
  <c r="O336" i="20"/>
  <c r="M320" i="20"/>
  <c r="P320" i="20" s="1"/>
  <c r="P335" i="19"/>
  <c r="P336" i="18"/>
  <c r="O175" i="19"/>
  <c r="O335" i="19"/>
  <c r="O157" i="19"/>
  <c r="M303" i="16"/>
  <c r="P303" i="16" s="1"/>
  <c r="L72" i="18"/>
  <c r="O72" i="18" s="1"/>
  <c r="O188" i="19"/>
  <c r="O46" i="19"/>
  <c r="I71" i="19"/>
  <c r="K71" i="19" s="1"/>
  <c r="P175" i="19"/>
  <c r="O141" i="19"/>
  <c r="O305" i="19"/>
  <c r="P75" i="18"/>
  <c r="K82" i="19"/>
  <c r="O159" i="19"/>
  <c r="N44" i="19"/>
  <c r="O44" i="19" s="1"/>
  <c r="M303" i="19"/>
  <c r="P303" i="19" s="1"/>
  <c r="P305" i="19"/>
  <c r="K332" i="19"/>
  <c r="O333" i="19"/>
  <c r="L377" i="19"/>
  <c r="O377" i="19" s="1"/>
  <c r="O46" i="18"/>
  <c r="M282" i="19"/>
  <c r="P282" i="19" s="1"/>
  <c r="O186" i="19"/>
  <c r="N20" i="19"/>
  <c r="N18" i="19" s="1"/>
  <c r="N21" i="19"/>
  <c r="O21" i="19" s="1"/>
  <c r="O19" i="19"/>
  <c r="O96" i="19"/>
  <c r="L94" i="19"/>
  <c r="O94" i="19" s="1"/>
  <c r="L356" i="19"/>
  <c r="O358" i="19"/>
  <c r="P322" i="18"/>
  <c r="O175" i="18"/>
  <c r="L20" i="19"/>
  <c r="L18" i="19" s="1"/>
  <c r="O23" i="19"/>
  <c r="O61" i="19"/>
  <c r="L59" i="19"/>
  <c r="O59" i="19" s="1"/>
  <c r="M24" i="19"/>
  <c r="P24" i="19" s="1"/>
  <c r="P26" i="19"/>
  <c r="O173" i="19"/>
  <c r="I231" i="19"/>
  <c r="K242" i="19"/>
  <c r="L139" i="19"/>
  <c r="O139" i="19" s="1"/>
  <c r="M333" i="19"/>
  <c r="P333" i="19" s="1"/>
  <c r="M44" i="19"/>
  <c r="P46" i="19"/>
  <c r="L232" i="19"/>
  <c r="O243" i="19"/>
  <c r="M20" i="19"/>
  <c r="P23" i="19"/>
  <c r="L320" i="19"/>
  <c r="O320" i="19" s="1"/>
  <c r="P74" i="19"/>
  <c r="M72" i="19"/>
  <c r="P72" i="19" s="1"/>
  <c r="M173" i="19"/>
  <c r="P173" i="19" s="1"/>
  <c r="L24" i="19"/>
  <c r="O24" i="19" s="1"/>
  <c r="P141" i="19"/>
  <c r="M139" i="19"/>
  <c r="P139" i="19" s="1"/>
  <c r="M377" i="19"/>
  <c r="P377" i="19" s="1"/>
  <c r="P356" i="18"/>
  <c r="P127" i="19"/>
  <c r="M125" i="19"/>
  <c r="P125" i="19" s="1"/>
  <c r="M157" i="19"/>
  <c r="P157" i="19" s="1"/>
  <c r="N356" i="19"/>
  <c r="P356" i="19" s="1"/>
  <c r="P188" i="18"/>
  <c r="P96" i="18"/>
  <c r="M94" i="18"/>
  <c r="P94" i="18" s="1"/>
  <c r="P175" i="18"/>
  <c r="P359" i="18"/>
  <c r="L377" i="18"/>
  <c r="O377" i="18" s="1"/>
  <c r="M320" i="17"/>
  <c r="P320" i="17" s="1"/>
  <c r="P74" i="17"/>
  <c r="N44" i="18"/>
  <c r="O44" i="18" s="1"/>
  <c r="O47" i="18"/>
  <c r="P335" i="17"/>
  <c r="L282" i="18"/>
  <c r="O282" i="18" s="1"/>
  <c r="N173" i="18"/>
  <c r="O173" i="18" s="1"/>
  <c r="N320" i="18"/>
  <c r="P320" i="18" s="1"/>
  <c r="O75" i="18"/>
  <c r="P358" i="11"/>
  <c r="O322" i="18"/>
  <c r="L125" i="18"/>
  <c r="O125" i="18" s="1"/>
  <c r="P358" i="18"/>
  <c r="P159" i="18"/>
  <c r="M157" i="18"/>
  <c r="P157" i="18" s="1"/>
  <c r="P47" i="18"/>
  <c r="M303" i="18"/>
  <c r="P303" i="18" s="1"/>
  <c r="M173" i="18"/>
  <c r="L94" i="18"/>
  <c r="O94" i="18" s="1"/>
  <c r="P61" i="18"/>
  <c r="M282" i="18"/>
  <c r="P282" i="18" s="1"/>
  <c r="P72" i="18"/>
  <c r="O176" i="18"/>
  <c r="P23" i="18"/>
  <c r="M20" i="18"/>
  <c r="K83" i="18"/>
  <c r="I71" i="18"/>
  <c r="K71" i="18" s="1"/>
  <c r="N20" i="18"/>
  <c r="N18" i="18" s="1"/>
  <c r="N21" i="18"/>
  <c r="O21" i="18" s="1"/>
  <c r="O305" i="18"/>
  <c r="L303" i="18"/>
  <c r="O303" i="18" s="1"/>
  <c r="O159" i="18"/>
  <c r="L157" i="18"/>
  <c r="O157" i="18" s="1"/>
  <c r="L24" i="18"/>
  <c r="O24" i="18" s="1"/>
  <c r="L20" i="18"/>
  <c r="O23" i="18"/>
  <c r="P333" i="18"/>
  <c r="N59" i="1"/>
  <c r="P46" i="17"/>
  <c r="P46" i="18"/>
  <c r="M44" i="18"/>
  <c r="O268" i="18"/>
  <c r="L266" i="18"/>
  <c r="O266" i="18" s="1"/>
  <c r="L232" i="18"/>
  <c r="O243" i="18"/>
  <c r="I70" i="18"/>
  <c r="K70" i="18" s="1"/>
  <c r="K82" i="18"/>
  <c r="P176" i="18"/>
  <c r="M377" i="18"/>
  <c r="P377" i="18" s="1"/>
  <c r="I231" i="18"/>
  <c r="P335" i="18"/>
  <c r="I231" i="17"/>
  <c r="I185" i="17" s="1"/>
  <c r="K185" i="17" s="1"/>
  <c r="O61" i="18"/>
  <c r="L59" i="18"/>
  <c r="O335" i="18"/>
  <c r="L333" i="18"/>
  <c r="O333" i="18" s="1"/>
  <c r="L186" i="18"/>
  <c r="O186" i="18" s="1"/>
  <c r="O188" i="18"/>
  <c r="M266" i="18"/>
  <c r="P266" i="18" s="1"/>
  <c r="P26" i="18"/>
  <c r="M24" i="18"/>
  <c r="P24" i="18" s="1"/>
  <c r="O336" i="18"/>
  <c r="P188" i="16"/>
  <c r="P176" i="17"/>
  <c r="M21" i="18"/>
  <c r="P127" i="18"/>
  <c r="M125" i="18"/>
  <c r="P125" i="18" s="1"/>
  <c r="P141" i="18"/>
  <c r="M139" i="18"/>
  <c r="P139" i="18" s="1"/>
  <c r="L356" i="18"/>
  <c r="O356" i="18" s="1"/>
  <c r="O358" i="18"/>
  <c r="P59" i="18"/>
  <c r="O359" i="18"/>
  <c r="O335" i="17"/>
  <c r="I71" i="17"/>
  <c r="K71" i="17" s="1"/>
  <c r="O175" i="17"/>
  <c r="I231" i="16"/>
  <c r="I185" i="16" s="1"/>
  <c r="K185" i="16" s="1"/>
  <c r="L320" i="17"/>
  <c r="O320" i="17" s="1"/>
  <c r="P175" i="17"/>
  <c r="L139" i="17"/>
  <c r="O139" i="17" s="1"/>
  <c r="K242" i="16"/>
  <c r="L94" i="16"/>
  <c r="O94" i="16" s="1"/>
  <c r="M157" i="17"/>
  <c r="P157" i="17" s="1"/>
  <c r="K242" i="17"/>
  <c r="P75" i="17"/>
  <c r="M333" i="17"/>
  <c r="P333" i="17" s="1"/>
  <c r="M282" i="17"/>
  <c r="P282" i="17" s="1"/>
  <c r="O268" i="17"/>
  <c r="L266" i="17"/>
  <c r="O266" i="17" s="1"/>
  <c r="L125" i="17"/>
  <c r="O125" i="17" s="1"/>
  <c r="L377" i="17"/>
  <c r="O377" i="17" s="1"/>
  <c r="O305" i="16"/>
  <c r="N186" i="16"/>
  <c r="P186" i="16" s="1"/>
  <c r="M377" i="16"/>
  <c r="P377" i="16" s="1"/>
  <c r="P358" i="17"/>
  <c r="L282" i="17"/>
  <c r="O282" i="17" s="1"/>
  <c r="P268" i="17"/>
  <c r="M266" i="17"/>
  <c r="P266" i="17" s="1"/>
  <c r="P305" i="17"/>
  <c r="N20" i="17"/>
  <c r="N18" i="17" s="1"/>
  <c r="N21" i="17"/>
  <c r="O21" i="17" s="1"/>
  <c r="L232" i="17"/>
  <c r="O243" i="17"/>
  <c r="O305" i="17"/>
  <c r="P356" i="17"/>
  <c r="L125" i="16"/>
  <c r="O125" i="16" s="1"/>
  <c r="P173" i="17"/>
  <c r="M24" i="17"/>
  <c r="P24" i="17" s="1"/>
  <c r="P72" i="17"/>
  <c r="L94" i="17"/>
  <c r="O94" i="17" s="1"/>
  <c r="O61" i="17"/>
  <c r="L59" i="17"/>
  <c r="O59" i="17" s="1"/>
  <c r="O159" i="17"/>
  <c r="L157" i="17"/>
  <c r="O157" i="17" s="1"/>
  <c r="O176" i="17"/>
  <c r="O303" i="17"/>
  <c r="L44" i="17"/>
  <c r="O46" i="17"/>
  <c r="K82" i="17"/>
  <c r="I70" i="17"/>
  <c r="K70" i="17" s="1"/>
  <c r="O305" i="15"/>
  <c r="M94" i="17"/>
  <c r="P94" i="17" s="1"/>
  <c r="P96" i="17"/>
  <c r="M20" i="17"/>
  <c r="O173" i="17"/>
  <c r="P305" i="15"/>
  <c r="P61" i="17"/>
  <c r="M59" i="17"/>
  <c r="P59" i="17" s="1"/>
  <c r="N44" i="17"/>
  <c r="N40" i="17" s="1"/>
  <c r="K332" i="17"/>
  <c r="P336" i="17"/>
  <c r="O74" i="17"/>
  <c r="L72" i="17"/>
  <c r="O72" i="17" s="1"/>
  <c r="P141" i="17"/>
  <c r="M139" i="17"/>
  <c r="P139" i="17" s="1"/>
  <c r="L356" i="17"/>
  <c r="O356" i="17" s="1"/>
  <c r="O358" i="17"/>
  <c r="P23" i="17"/>
  <c r="L333" i="17"/>
  <c r="O333" i="17" s="1"/>
  <c r="P188" i="17"/>
  <c r="M186" i="17"/>
  <c r="P186" i="17" s="1"/>
  <c r="M125" i="17"/>
  <c r="P125" i="17" s="1"/>
  <c r="P127" i="17"/>
  <c r="L186" i="17"/>
  <c r="O186" i="17" s="1"/>
  <c r="O188" i="17"/>
  <c r="L20" i="17"/>
  <c r="O23" i="17"/>
  <c r="L24" i="17"/>
  <c r="O24" i="17" s="1"/>
  <c r="P303" i="17"/>
  <c r="M377" i="17"/>
  <c r="P377" i="17" s="1"/>
  <c r="M320" i="16"/>
  <c r="P320" i="16" s="1"/>
  <c r="P141" i="14"/>
  <c r="O59" i="16"/>
  <c r="L72" i="16"/>
  <c r="O72" i="16" s="1"/>
  <c r="M94" i="16"/>
  <c r="P94" i="16" s="1"/>
  <c r="P175" i="14"/>
  <c r="M139" i="14"/>
  <c r="P139" i="14" s="1"/>
  <c r="O139" i="16"/>
  <c r="P335" i="14"/>
  <c r="M266" i="16"/>
  <c r="P266" i="16" s="1"/>
  <c r="O141" i="16"/>
  <c r="M157" i="16"/>
  <c r="P157" i="16" s="1"/>
  <c r="O284" i="16"/>
  <c r="P336" i="15"/>
  <c r="O46" i="16"/>
  <c r="P175" i="16"/>
  <c r="O358" i="16"/>
  <c r="L356" i="16"/>
  <c r="O356" i="16" s="1"/>
  <c r="P46" i="16"/>
  <c r="O159" i="16"/>
  <c r="L157" i="16"/>
  <c r="O157" i="16" s="1"/>
  <c r="L44" i="16"/>
  <c r="O44" i="16" s="1"/>
  <c r="O175" i="16"/>
  <c r="I70" i="16"/>
  <c r="K70" i="16" s="1"/>
  <c r="P142" i="16"/>
  <c r="O159" i="15"/>
  <c r="L173" i="16"/>
  <c r="O173" i="16" s="1"/>
  <c r="M282" i="15"/>
  <c r="P282" i="15" s="1"/>
  <c r="P284" i="16"/>
  <c r="M282" i="16"/>
  <c r="P282" i="16" s="1"/>
  <c r="M44" i="16"/>
  <c r="M356" i="16"/>
  <c r="P356" i="16" s="1"/>
  <c r="P358" i="16"/>
  <c r="P61" i="16"/>
  <c r="O335" i="16"/>
  <c r="L333" i="16"/>
  <c r="O333" i="16" s="1"/>
  <c r="P62" i="16"/>
  <c r="O62" i="16"/>
  <c r="L377" i="16"/>
  <c r="O377" i="16" s="1"/>
  <c r="O379" i="16"/>
  <c r="M72" i="15"/>
  <c r="P72" i="15" s="1"/>
  <c r="N20" i="16"/>
  <c r="N18" i="16" s="1"/>
  <c r="N21" i="16"/>
  <c r="O21" i="16" s="1"/>
  <c r="P127" i="16"/>
  <c r="M125" i="16"/>
  <c r="P125" i="16" s="1"/>
  <c r="O61" i="16"/>
  <c r="L320" i="16"/>
  <c r="O320" i="16" s="1"/>
  <c r="O322" i="16"/>
  <c r="M173" i="16"/>
  <c r="P173" i="16" s="1"/>
  <c r="O74" i="15"/>
  <c r="M20" i="16"/>
  <c r="P23" i="16"/>
  <c r="P141" i="16"/>
  <c r="M139" i="16"/>
  <c r="P139" i="16" s="1"/>
  <c r="M72" i="16"/>
  <c r="P72" i="16" s="1"/>
  <c r="P59" i="16"/>
  <c r="L266" i="16"/>
  <c r="O266" i="16" s="1"/>
  <c r="O268" i="16"/>
  <c r="M125" i="14"/>
  <c r="P125" i="14" s="1"/>
  <c r="M21" i="16"/>
  <c r="K83" i="16"/>
  <c r="I71" i="16"/>
  <c r="K71" i="16" s="1"/>
  <c r="M333" i="16"/>
  <c r="P333" i="16" s="1"/>
  <c r="O335" i="14"/>
  <c r="K82" i="15"/>
  <c r="L20" i="16"/>
  <c r="O23" i="16"/>
  <c r="L24" i="16"/>
  <c r="O24" i="16" s="1"/>
  <c r="L232" i="16"/>
  <c r="O243" i="16"/>
  <c r="M24" i="16"/>
  <c r="P24" i="16" s="1"/>
  <c r="L186" i="16"/>
  <c r="O188" i="16"/>
  <c r="L139" i="15"/>
  <c r="O139" i="15" s="1"/>
  <c r="P358" i="15"/>
  <c r="K83" i="15"/>
  <c r="P61" i="14"/>
  <c r="I231" i="14"/>
  <c r="K231" i="14" s="1"/>
  <c r="O141" i="14"/>
  <c r="O46" i="15"/>
  <c r="P186" i="15"/>
  <c r="M303" i="15"/>
  <c r="P303" i="15" s="1"/>
  <c r="O62" i="14"/>
  <c r="L282" i="15"/>
  <c r="O282" i="15" s="1"/>
  <c r="L125" i="15"/>
  <c r="O125" i="15" s="1"/>
  <c r="L377" i="15"/>
  <c r="O377" i="15" s="1"/>
  <c r="P96" i="15"/>
  <c r="M94" i="15"/>
  <c r="P94" i="15" s="1"/>
  <c r="P359" i="15"/>
  <c r="O335" i="15"/>
  <c r="O186" i="15"/>
  <c r="M356" i="15"/>
  <c r="P356" i="15" s="1"/>
  <c r="M20" i="15"/>
  <c r="P23" i="15"/>
  <c r="O358" i="15"/>
  <c r="L356" i="15"/>
  <c r="O356" i="15" s="1"/>
  <c r="N59" i="15"/>
  <c r="P59" i="15" s="1"/>
  <c r="P61" i="15"/>
  <c r="M333" i="15"/>
  <c r="P335" i="15"/>
  <c r="L20" i="15"/>
  <c r="O23" i="15"/>
  <c r="N333" i="15"/>
  <c r="O333" i="15" s="1"/>
  <c r="M157" i="14"/>
  <c r="P157" i="14" s="1"/>
  <c r="O96" i="15"/>
  <c r="L94" i="15"/>
  <c r="O94" i="15" s="1"/>
  <c r="P175" i="15"/>
  <c r="P188" i="15"/>
  <c r="M173" i="15"/>
  <c r="P173" i="15" s="1"/>
  <c r="O159" i="12"/>
  <c r="L24" i="15"/>
  <c r="O24" i="15" s="1"/>
  <c r="P127" i="15"/>
  <c r="M125" i="15"/>
  <c r="P125" i="15" s="1"/>
  <c r="O61" i="15"/>
  <c r="L59" i="15"/>
  <c r="O59" i="15" s="1"/>
  <c r="M320" i="15"/>
  <c r="P320" i="15" s="1"/>
  <c r="O175" i="15"/>
  <c r="O358" i="14"/>
  <c r="M72" i="14"/>
  <c r="P72" i="14" s="1"/>
  <c r="M303" i="14"/>
  <c r="P303" i="14" s="1"/>
  <c r="N20" i="15"/>
  <c r="N18" i="15" s="1"/>
  <c r="N21" i="15"/>
  <c r="M24" i="15"/>
  <c r="P24" i="15" s="1"/>
  <c r="P26" i="15"/>
  <c r="L266" i="15"/>
  <c r="O266" i="15" s="1"/>
  <c r="O268" i="15"/>
  <c r="M377" i="15"/>
  <c r="P377" i="15" s="1"/>
  <c r="P379" i="15"/>
  <c r="I231" i="15"/>
  <c r="K242" i="15"/>
  <c r="O173" i="15"/>
  <c r="P306" i="15"/>
  <c r="L232" i="15"/>
  <c r="L320" i="14"/>
  <c r="O320" i="14" s="1"/>
  <c r="K242" i="14"/>
  <c r="M44" i="15"/>
  <c r="P46" i="15"/>
  <c r="L21" i="15"/>
  <c r="P141" i="15"/>
  <c r="M139" i="15"/>
  <c r="P139" i="15" s="1"/>
  <c r="L303" i="15"/>
  <c r="O303" i="15" s="1"/>
  <c r="O173" i="14"/>
  <c r="M21" i="15"/>
  <c r="M266" i="15"/>
  <c r="P266" i="15" s="1"/>
  <c r="O322" i="15"/>
  <c r="L320" i="15"/>
  <c r="O320" i="15" s="1"/>
  <c r="O44" i="15"/>
  <c r="O188" i="15"/>
  <c r="M157" i="15"/>
  <c r="P157" i="15" s="1"/>
  <c r="L94" i="14"/>
  <c r="O94" i="14" s="1"/>
  <c r="L232" i="14"/>
  <c r="O74" i="14"/>
  <c r="M320" i="14"/>
  <c r="P320" i="14" s="1"/>
  <c r="M377" i="14"/>
  <c r="P377" i="14" s="1"/>
  <c r="M266" i="13"/>
  <c r="P266" i="13" s="1"/>
  <c r="P142" i="14"/>
  <c r="P96" i="14"/>
  <c r="M266" i="14"/>
  <c r="P266" i="14" s="1"/>
  <c r="M282" i="14"/>
  <c r="P282" i="14" s="1"/>
  <c r="O175" i="12"/>
  <c r="P359" i="13"/>
  <c r="M333" i="14"/>
  <c r="P333" i="14" s="1"/>
  <c r="P189" i="14"/>
  <c r="O243" i="14"/>
  <c r="K82" i="12"/>
  <c r="M157" i="13"/>
  <c r="P157" i="13" s="1"/>
  <c r="L125" i="14"/>
  <c r="O125" i="14" s="1"/>
  <c r="P173" i="14"/>
  <c r="O159" i="14"/>
  <c r="O333" i="12"/>
  <c r="O139" i="14"/>
  <c r="L24" i="14"/>
  <c r="O24" i="14" s="1"/>
  <c r="L303" i="14"/>
  <c r="O303" i="14" s="1"/>
  <c r="L266" i="14"/>
  <c r="O266" i="14" s="1"/>
  <c r="M72" i="12"/>
  <c r="P72" i="12" s="1"/>
  <c r="L72" i="13"/>
  <c r="O72" i="13" s="1"/>
  <c r="L282" i="14"/>
  <c r="O282" i="14" s="1"/>
  <c r="L333" i="14"/>
  <c r="O333" i="14" s="1"/>
  <c r="P139" i="12"/>
  <c r="M59" i="14"/>
  <c r="P59" i="14" s="1"/>
  <c r="O336" i="14"/>
  <c r="M24" i="14"/>
  <c r="P24" i="14" s="1"/>
  <c r="O175" i="14"/>
  <c r="O359" i="14"/>
  <c r="L157" i="14"/>
  <c r="O157" i="14" s="1"/>
  <c r="N40" i="14"/>
  <c r="O19" i="14"/>
  <c r="P186" i="14"/>
  <c r="K332" i="11"/>
  <c r="L21" i="14"/>
  <c r="L20" i="14"/>
  <c r="O23" i="14"/>
  <c r="M356" i="14"/>
  <c r="P356" i="14" s="1"/>
  <c r="P358" i="14"/>
  <c r="P188" i="14"/>
  <c r="P46" i="14"/>
  <c r="O379" i="14"/>
  <c r="L377" i="14"/>
  <c r="O377" i="14" s="1"/>
  <c r="L356" i="14"/>
  <c r="O356" i="14" s="1"/>
  <c r="N20" i="14"/>
  <c r="N18" i="14" s="1"/>
  <c r="N21" i="14"/>
  <c r="P44" i="14"/>
  <c r="M20" i="14"/>
  <c r="P23" i="14"/>
  <c r="O46" i="14"/>
  <c r="K82" i="14"/>
  <c r="I70" i="14"/>
  <c r="K70" i="14" s="1"/>
  <c r="O61" i="14"/>
  <c r="L59" i="14"/>
  <c r="O59" i="14" s="1"/>
  <c r="K83" i="14"/>
  <c r="I71" i="14"/>
  <c r="K71" i="14" s="1"/>
  <c r="O188" i="14"/>
  <c r="L186" i="14"/>
  <c r="O186" i="14" s="1"/>
  <c r="O44" i="14"/>
  <c r="L24" i="13"/>
  <c r="O24" i="13" s="1"/>
  <c r="P305" i="13"/>
  <c r="P379" i="13"/>
  <c r="M21" i="14"/>
  <c r="L232" i="13"/>
  <c r="P335" i="13"/>
  <c r="P186" i="13"/>
  <c r="O159" i="13"/>
  <c r="P322" i="13"/>
  <c r="M320" i="13"/>
  <c r="P320" i="13" s="1"/>
  <c r="M94" i="13"/>
  <c r="P94" i="13" s="1"/>
  <c r="O336" i="13"/>
  <c r="O243" i="13"/>
  <c r="N173" i="12"/>
  <c r="O173" i="12" s="1"/>
  <c r="L125" i="13"/>
  <c r="O125" i="13" s="1"/>
  <c r="K83" i="12"/>
  <c r="O141" i="13"/>
  <c r="O173" i="13"/>
  <c r="O46" i="11"/>
  <c r="O336" i="12"/>
  <c r="O175" i="13"/>
  <c r="M333" i="13"/>
  <c r="P333" i="13" s="1"/>
  <c r="O157" i="13"/>
  <c r="P303" i="12"/>
  <c r="O141" i="12"/>
  <c r="P61" i="13"/>
  <c r="O305" i="12"/>
  <c r="O61" i="13"/>
  <c r="M125" i="13"/>
  <c r="P125" i="13" s="1"/>
  <c r="P62" i="13"/>
  <c r="L282" i="13"/>
  <c r="O282" i="13" s="1"/>
  <c r="P188" i="13"/>
  <c r="L59" i="13"/>
  <c r="O59" i="13" s="1"/>
  <c r="P23" i="13"/>
  <c r="M20" i="13"/>
  <c r="M21" i="13"/>
  <c r="N20" i="13"/>
  <c r="N18" i="13" s="1"/>
  <c r="N21" i="13"/>
  <c r="L320" i="13"/>
  <c r="O320" i="13" s="1"/>
  <c r="O322" i="13"/>
  <c r="O19" i="13"/>
  <c r="K82" i="13"/>
  <c r="I70" i="13"/>
  <c r="K70" i="13" s="1"/>
  <c r="L139" i="11"/>
  <c r="O139" i="11" s="1"/>
  <c r="O46" i="12"/>
  <c r="L282" i="12"/>
  <c r="O282" i="12" s="1"/>
  <c r="P175" i="12"/>
  <c r="P356" i="12"/>
  <c r="L72" i="12"/>
  <c r="O72" i="12" s="1"/>
  <c r="L21" i="13"/>
  <c r="O21" i="13" s="1"/>
  <c r="L20" i="13"/>
  <c r="O23" i="13"/>
  <c r="P284" i="13"/>
  <c r="M282" i="13"/>
  <c r="P282" i="13" s="1"/>
  <c r="I71" i="13"/>
  <c r="K71" i="13" s="1"/>
  <c r="K83" i="13"/>
  <c r="L94" i="13"/>
  <c r="P336" i="13"/>
  <c r="P356" i="13"/>
  <c r="O44" i="13"/>
  <c r="M356" i="11"/>
  <c r="P356" i="11" s="1"/>
  <c r="P305" i="12"/>
  <c r="M44" i="13"/>
  <c r="P46" i="13"/>
  <c r="O62" i="13"/>
  <c r="O335" i="13"/>
  <c r="L333" i="13"/>
  <c r="O333" i="13" s="1"/>
  <c r="L377" i="13"/>
  <c r="O377" i="13" s="1"/>
  <c r="M139" i="10"/>
  <c r="P139" i="10" s="1"/>
  <c r="M139" i="11"/>
  <c r="P139" i="11" s="1"/>
  <c r="M266" i="12"/>
  <c r="P266" i="12" s="1"/>
  <c r="P141" i="13"/>
  <c r="M139" i="13"/>
  <c r="P139" i="13" s="1"/>
  <c r="I231" i="13"/>
  <c r="K242" i="13"/>
  <c r="M173" i="13"/>
  <c r="P173" i="13" s="1"/>
  <c r="P175" i="13"/>
  <c r="L266" i="10"/>
  <c r="O266" i="10" s="1"/>
  <c r="P186" i="12"/>
  <c r="M72" i="13"/>
  <c r="P72" i="13" s="1"/>
  <c r="P74" i="13"/>
  <c r="O189" i="13"/>
  <c r="O188" i="13"/>
  <c r="L186" i="13"/>
  <c r="O186" i="13" s="1"/>
  <c r="M24" i="13"/>
  <c r="P24" i="13" s="1"/>
  <c r="P26" i="13"/>
  <c r="O46" i="13"/>
  <c r="N303" i="13"/>
  <c r="P303" i="13" s="1"/>
  <c r="P358" i="13"/>
  <c r="P59" i="13"/>
  <c r="O305" i="13"/>
  <c r="L303" i="13"/>
  <c r="O358" i="13"/>
  <c r="L356" i="13"/>
  <c r="O356" i="13" s="1"/>
  <c r="O268" i="13"/>
  <c r="L266" i="13"/>
  <c r="O266" i="13" s="1"/>
  <c r="P141" i="12"/>
  <c r="L303" i="12"/>
  <c r="O303" i="12" s="1"/>
  <c r="M125" i="11"/>
  <c r="P125" i="11" s="1"/>
  <c r="P94" i="12"/>
  <c r="P336" i="12"/>
  <c r="O356" i="12"/>
  <c r="O358" i="12"/>
  <c r="O335" i="12"/>
  <c r="P46" i="7"/>
  <c r="K332" i="12"/>
  <c r="P127" i="12"/>
  <c r="P96" i="12"/>
  <c r="P188" i="10"/>
  <c r="O157" i="11"/>
  <c r="O44" i="11"/>
  <c r="P358" i="12"/>
  <c r="M157" i="12"/>
  <c r="P157" i="12" s="1"/>
  <c r="P284" i="12"/>
  <c r="P142" i="12"/>
  <c r="M377" i="10"/>
  <c r="P377" i="10" s="1"/>
  <c r="L232" i="12"/>
  <c r="L139" i="12"/>
  <c r="O139" i="12" s="1"/>
  <c r="O335" i="11"/>
  <c r="L24" i="12"/>
  <c r="O24" i="12" s="1"/>
  <c r="N44" i="12"/>
  <c r="O96" i="12"/>
  <c r="L94" i="12"/>
  <c r="O94" i="12" s="1"/>
  <c r="L20" i="12"/>
  <c r="O23" i="12"/>
  <c r="P61" i="12"/>
  <c r="I231" i="12"/>
  <c r="K242" i="12"/>
  <c r="P188" i="12"/>
  <c r="P188" i="11"/>
  <c r="P335" i="11"/>
  <c r="P46" i="12"/>
  <c r="N20" i="12"/>
  <c r="N18" i="12" s="1"/>
  <c r="N21" i="12"/>
  <c r="L266" i="12"/>
  <c r="O266" i="12" s="1"/>
  <c r="O268" i="12"/>
  <c r="L21" i="12"/>
  <c r="M44" i="12"/>
  <c r="M377" i="12"/>
  <c r="P377" i="12" s="1"/>
  <c r="P379" i="12"/>
  <c r="O188" i="12"/>
  <c r="M173" i="12"/>
  <c r="M20" i="12"/>
  <c r="P23" i="12"/>
  <c r="O19" i="12"/>
  <c r="O322" i="12"/>
  <c r="L320" i="12"/>
  <c r="O320" i="12" s="1"/>
  <c r="O186" i="12"/>
  <c r="P59" i="12"/>
  <c r="O47" i="11"/>
  <c r="O186" i="11"/>
  <c r="O61" i="12"/>
  <c r="L59" i="12"/>
  <c r="O59" i="12" s="1"/>
  <c r="M24" i="12"/>
  <c r="P24" i="12" s="1"/>
  <c r="P26" i="12"/>
  <c r="L125" i="12"/>
  <c r="O125" i="12" s="1"/>
  <c r="M333" i="12"/>
  <c r="P333" i="12" s="1"/>
  <c r="P335" i="12"/>
  <c r="L377" i="12"/>
  <c r="O377" i="12" s="1"/>
  <c r="M320" i="12"/>
  <c r="P320" i="12" s="1"/>
  <c r="M21" i="12"/>
  <c r="P306" i="12"/>
  <c r="O306" i="12"/>
  <c r="P359" i="12"/>
  <c r="M157" i="11"/>
  <c r="P157" i="11" s="1"/>
  <c r="P175" i="11"/>
  <c r="M320" i="11"/>
  <c r="P320" i="11" s="1"/>
  <c r="O173" i="11"/>
  <c r="P46" i="11"/>
  <c r="L72" i="11"/>
  <c r="O72" i="11" s="1"/>
  <c r="L232" i="11"/>
  <c r="O59" i="11"/>
  <c r="O358" i="11"/>
  <c r="M377" i="11"/>
  <c r="P377" i="11" s="1"/>
  <c r="P379" i="11"/>
  <c r="M44" i="11"/>
  <c r="O188" i="11"/>
  <c r="N377" i="1"/>
  <c r="M303" i="11"/>
  <c r="P303" i="11" s="1"/>
  <c r="M266" i="10"/>
  <c r="P266" i="10" s="1"/>
  <c r="O159" i="11"/>
  <c r="O61" i="11"/>
  <c r="M282" i="11"/>
  <c r="P282" i="11" s="1"/>
  <c r="P333" i="10"/>
  <c r="P62" i="11"/>
  <c r="I185" i="11"/>
  <c r="K185" i="11" s="1"/>
  <c r="M186" i="11"/>
  <c r="P186" i="11" s="1"/>
  <c r="M94" i="8"/>
  <c r="P94" i="8" s="1"/>
  <c r="M173" i="11"/>
  <c r="P173" i="11" s="1"/>
  <c r="O62" i="11"/>
  <c r="L377" i="11"/>
  <c r="O377" i="11" s="1"/>
  <c r="O268" i="11"/>
  <c r="L266" i="11"/>
  <c r="O266" i="11" s="1"/>
  <c r="L94" i="9"/>
  <c r="O94" i="9" s="1"/>
  <c r="P188" i="9"/>
  <c r="K332" i="10"/>
  <c r="O175" i="11"/>
  <c r="L24" i="11"/>
  <c r="O24" i="11" s="1"/>
  <c r="N40" i="11"/>
  <c r="P333" i="11"/>
  <c r="M72" i="11"/>
  <c r="P72" i="11" s="1"/>
  <c r="O62" i="10"/>
  <c r="L356" i="11"/>
  <c r="O356" i="11" s="1"/>
  <c r="M59" i="11"/>
  <c r="P59" i="11" s="1"/>
  <c r="M94" i="11"/>
  <c r="P94" i="11" s="1"/>
  <c r="L303" i="11"/>
  <c r="O303" i="11" s="1"/>
  <c r="O305" i="11"/>
  <c r="P23" i="11"/>
  <c r="M21" i="11"/>
  <c r="M20" i="11"/>
  <c r="K83" i="11"/>
  <c r="I71" i="11"/>
  <c r="K71" i="11" s="1"/>
  <c r="L157" i="10"/>
  <c r="O157" i="10" s="1"/>
  <c r="N20" i="11"/>
  <c r="N18" i="11" s="1"/>
  <c r="N21" i="11"/>
  <c r="O21" i="11" s="1"/>
  <c r="L94" i="11"/>
  <c r="O94" i="11" s="1"/>
  <c r="O96" i="11"/>
  <c r="N186" i="9"/>
  <c r="P186" i="9" s="1"/>
  <c r="O188" i="10"/>
  <c r="M125" i="10"/>
  <c r="P125" i="10" s="1"/>
  <c r="M157" i="10"/>
  <c r="P157" i="10" s="1"/>
  <c r="M24" i="11"/>
  <c r="P24" i="11" s="1"/>
  <c r="P26" i="11"/>
  <c r="L20" i="11"/>
  <c r="O23" i="11"/>
  <c r="I70" i="11"/>
  <c r="K70" i="11" s="1"/>
  <c r="K82" i="11"/>
  <c r="O284" i="11"/>
  <c r="L282" i="11"/>
  <c r="O282" i="11" s="1"/>
  <c r="P44" i="11"/>
  <c r="M266" i="11"/>
  <c r="P266" i="11" s="1"/>
  <c r="M94" i="9"/>
  <c r="P94" i="9" s="1"/>
  <c r="P322" i="10"/>
  <c r="L125" i="11"/>
  <c r="O125" i="11" s="1"/>
  <c r="O127" i="11"/>
  <c r="L320" i="11"/>
  <c r="O320" i="11" s="1"/>
  <c r="L333" i="11"/>
  <c r="O333" i="11" s="1"/>
  <c r="O59" i="10"/>
  <c r="O379" i="9"/>
  <c r="P96" i="10"/>
  <c r="L232" i="10"/>
  <c r="O61" i="10"/>
  <c r="I70" i="10"/>
  <c r="K70" i="10" s="1"/>
  <c r="P358" i="10"/>
  <c r="L303" i="10"/>
  <c r="O303" i="10" s="1"/>
  <c r="O335" i="10"/>
  <c r="P356" i="10"/>
  <c r="O74" i="10"/>
  <c r="L94" i="10"/>
  <c r="O94" i="10" s="1"/>
  <c r="O333" i="8"/>
  <c r="M24" i="9"/>
  <c r="P24" i="9" s="1"/>
  <c r="P335" i="9"/>
  <c r="M72" i="9"/>
  <c r="P72" i="9" s="1"/>
  <c r="P175" i="10"/>
  <c r="O358" i="10"/>
  <c r="I185" i="10"/>
  <c r="K185" i="10" s="1"/>
  <c r="M282" i="10"/>
  <c r="P282" i="10" s="1"/>
  <c r="O379" i="10"/>
  <c r="M72" i="10"/>
  <c r="P72" i="10" s="1"/>
  <c r="P61" i="10"/>
  <c r="P189" i="10"/>
  <c r="L24" i="10"/>
  <c r="O24" i="10" s="1"/>
  <c r="O322" i="9"/>
  <c r="P44" i="10"/>
  <c r="M186" i="10"/>
  <c r="P186" i="10" s="1"/>
  <c r="P335" i="10"/>
  <c r="M303" i="9"/>
  <c r="P303" i="9" s="1"/>
  <c r="L320" i="10"/>
  <c r="O320" i="10" s="1"/>
  <c r="L20" i="10"/>
  <c r="L18" i="10" s="1"/>
  <c r="O23" i="10"/>
  <c r="L282" i="10"/>
  <c r="O282" i="10" s="1"/>
  <c r="O284" i="10"/>
  <c r="N20" i="10"/>
  <c r="N18" i="10" s="1"/>
  <c r="N21" i="10"/>
  <c r="P21" i="10" s="1"/>
  <c r="O44" i="10"/>
  <c r="O186" i="10"/>
  <c r="M173" i="10"/>
  <c r="P173" i="10" s="1"/>
  <c r="P62" i="10"/>
  <c r="L356" i="10"/>
  <c r="O356" i="10" s="1"/>
  <c r="N40" i="10"/>
  <c r="N186" i="1"/>
  <c r="O175" i="10"/>
  <c r="L125" i="10"/>
  <c r="O125" i="10" s="1"/>
  <c r="L333" i="10"/>
  <c r="O333" i="10" s="1"/>
  <c r="M24" i="10"/>
  <c r="P24" i="10" s="1"/>
  <c r="O46" i="10"/>
  <c r="L232" i="9"/>
  <c r="M59" i="10"/>
  <c r="K83" i="10"/>
  <c r="I71" i="10"/>
  <c r="K71" i="10" s="1"/>
  <c r="L139" i="10"/>
  <c r="O139" i="10" s="1"/>
  <c r="O173" i="10"/>
  <c r="L21" i="10"/>
  <c r="M303" i="10"/>
  <c r="P303" i="10" s="1"/>
  <c r="P46" i="10"/>
  <c r="M20" i="10"/>
  <c r="P23" i="10"/>
  <c r="O19" i="10"/>
  <c r="O358" i="8"/>
  <c r="P358" i="9"/>
  <c r="N356" i="9"/>
  <c r="P356" i="9" s="1"/>
  <c r="I71" i="9"/>
  <c r="K71" i="9" s="1"/>
  <c r="P322" i="9"/>
  <c r="M125" i="9"/>
  <c r="P125" i="9" s="1"/>
  <c r="M377" i="9"/>
  <c r="P377" i="9" s="1"/>
  <c r="M139" i="9"/>
  <c r="P139" i="9" s="1"/>
  <c r="N20" i="9"/>
  <c r="N18" i="9" s="1"/>
  <c r="L282" i="8"/>
  <c r="O282" i="8" s="1"/>
  <c r="M320" i="8"/>
  <c r="P320" i="8" s="1"/>
  <c r="O62" i="9"/>
  <c r="L282" i="9"/>
  <c r="O282" i="9" s="1"/>
  <c r="L24" i="9"/>
  <c r="O24" i="9" s="1"/>
  <c r="P61" i="9"/>
  <c r="O61" i="9"/>
  <c r="O74" i="9"/>
  <c r="L72" i="9"/>
  <c r="O72" i="9" s="1"/>
  <c r="N21" i="9"/>
  <c r="I70" i="9"/>
  <c r="K70" i="9" s="1"/>
  <c r="O188" i="9"/>
  <c r="O59" i="9"/>
  <c r="O335" i="8"/>
  <c r="M377" i="8"/>
  <c r="P377" i="8" s="1"/>
  <c r="P62" i="9"/>
  <c r="M157" i="9"/>
  <c r="P157" i="9" s="1"/>
  <c r="M282" i="9"/>
  <c r="P282" i="9" s="1"/>
  <c r="N333" i="9"/>
  <c r="P333" i="9" s="1"/>
  <c r="P59" i="8"/>
  <c r="P359" i="9"/>
  <c r="O159" i="9"/>
  <c r="L157" i="9"/>
  <c r="O157" i="9" s="1"/>
  <c r="P175" i="9"/>
  <c r="N173" i="9"/>
  <c r="P173" i="9" s="1"/>
  <c r="P335" i="8"/>
  <c r="O23" i="9"/>
  <c r="L20" i="9"/>
  <c r="O175" i="9"/>
  <c r="L173" i="9"/>
  <c r="M21" i="9"/>
  <c r="M20" i="9"/>
  <c r="P23" i="9"/>
  <c r="P46" i="9"/>
  <c r="N44" i="9"/>
  <c r="P44" i="9" s="1"/>
  <c r="I231" i="9"/>
  <c r="K242" i="9"/>
  <c r="L356" i="9"/>
  <c r="O358" i="9"/>
  <c r="L125" i="8"/>
  <c r="O125" i="8" s="1"/>
  <c r="M59" i="9"/>
  <c r="P59" i="9" s="1"/>
  <c r="L21" i="9"/>
  <c r="O268" i="9"/>
  <c r="L266" i="9"/>
  <c r="O266" i="9" s="1"/>
  <c r="L303" i="9"/>
  <c r="O303" i="9" s="1"/>
  <c r="O359" i="9"/>
  <c r="M266" i="8"/>
  <c r="P266" i="8" s="1"/>
  <c r="O46" i="9"/>
  <c r="L139" i="9"/>
  <c r="O139" i="9" s="1"/>
  <c r="O141" i="9"/>
  <c r="O335" i="9"/>
  <c r="L333" i="9"/>
  <c r="P47" i="9"/>
  <c r="M266" i="9"/>
  <c r="P266" i="9" s="1"/>
  <c r="O127" i="9"/>
  <c r="L125" i="9"/>
  <c r="O305" i="8"/>
  <c r="O19" i="9"/>
  <c r="L139" i="8"/>
  <c r="O139" i="8" s="1"/>
  <c r="M139" i="8"/>
  <c r="P139" i="8" s="1"/>
  <c r="M173" i="8"/>
  <c r="P173" i="8" s="1"/>
  <c r="L72" i="8"/>
  <c r="O72" i="8" s="1"/>
  <c r="L24" i="8"/>
  <c r="O24" i="8" s="1"/>
  <c r="L173" i="8"/>
  <c r="O173" i="8" s="1"/>
  <c r="O47" i="8"/>
  <c r="L303" i="8"/>
  <c r="O303" i="8" s="1"/>
  <c r="I70" i="8"/>
  <c r="K70" i="8" s="1"/>
  <c r="O159" i="8"/>
  <c r="O336" i="8"/>
  <c r="P358" i="7"/>
  <c r="M94" i="7"/>
  <c r="P94" i="7" s="1"/>
  <c r="L356" i="8"/>
  <c r="O356" i="8" s="1"/>
  <c r="O46" i="8"/>
  <c r="P61" i="8"/>
  <c r="P359" i="8"/>
  <c r="M157" i="8"/>
  <c r="P157" i="8" s="1"/>
  <c r="P306" i="8"/>
  <c r="P305" i="8"/>
  <c r="O44" i="8"/>
  <c r="M72" i="8"/>
  <c r="P72" i="8" s="1"/>
  <c r="O19" i="8"/>
  <c r="K332" i="7"/>
  <c r="O61" i="8"/>
  <c r="L59" i="8"/>
  <c r="P303" i="8"/>
  <c r="P62" i="8"/>
  <c r="I231" i="8"/>
  <c r="M333" i="8"/>
  <c r="P333" i="8" s="1"/>
  <c r="M20" i="8"/>
  <c r="P23" i="8"/>
  <c r="O243" i="8"/>
  <c r="L232" i="8"/>
  <c r="L94" i="8"/>
  <c r="O94" i="8" s="1"/>
  <c r="O96" i="8"/>
  <c r="O188" i="8"/>
  <c r="L186" i="8"/>
  <c r="M356" i="8"/>
  <c r="P356" i="8" s="1"/>
  <c r="P358" i="8"/>
  <c r="L20" i="8"/>
  <c r="L18" i="8" s="1"/>
  <c r="O23" i="8"/>
  <c r="P44" i="8"/>
  <c r="P47" i="8"/>
  <c r="P127" i="8"/>
  <c r="M125" i="8"/>
  <c r="P125" i="8" s="1"/>
  <c r="M24" i="8"/>
  <c r="P24" i="8" s="1"/>
  <c r="P26" i="8"/>
  <c r="L320" i="8"/>
  <c r="O320" i="8" s="1"/>
  <c r="N186" i="8"/>
  <c r="P186" i="8" s="1"/>
  <c r="P188" i="8"/>
  <c r="L377" i="8"/>
  <c r="O377" i="8" s="1"/>
  <c r="O379" i="8"/>
  <c r="O175" i="6"/>
  <c r="O141" i="7"/>
  <c r="P46" i="8"/>
  <c r="K83" i="8"/>
  <c r="I71" i="8"/>
  <c r="K71" i="8" s="1"/>
  <c r="M282" i="8"/>
  <c r="P282" i="8" s="1"/>
  <c r="P284" i="8"/>
  <c r="N20" i="8"/>
  <c r="N18" i="8" s="1"/>
  <c r="N21" i="8"/>
  <c r="O21" i="8" s="1"/>
  <c r="L266" i="8"/>
  <c r="O266" i="8" s="1"/>
  <c r="O175" i="7"/>
  <c r="O189" i="7"/>
  <c r="L72" i="7"/>
  <c r="O72" i="7" s="1"/>
  <c r="P188" i="7"/>
  <c r="L266" i="7"/>
  <c r="O266" i="7" s="1"/>
  <c r="P359" i="7"/>
  <c r="L125" i="6"/>
  <c r="O125" i="6" s="1"/>
  <c r="O62" i="7"/>
  <c r="P336" i="7"/>
  <c r="M320" i="7"/>
  <c r="P320" i="7" s="1"/>
  <c r="P175" i="7"/>
  <c r="L303" i="7"/>
  <c r="O303" i="7" s="1"/>
  <c r="O173" i="7"/>
  <c r="L232" i="7"/>
  <c r="P322" i="5"/>
  <c r="P62" i="7"/>
  <c r="O335" i="7"/>
  <c r="O157" i="6"/>
  <c r="K332" i="6"/>
  <c r="L282" i="7"/>
  <c r="O282" i="7" s="1"/>
  <c r="M303" i="7"/>
  <c r="P303" i="7" s="1"/>
  <c r="L173" i="6"/>
  <c r="O173" i="6" s="1"/>
  <c r="O243" i="7"/>
  <c r="I70" i="7"/>
  <c r="K70" i="7" s="1"/>
  <c r="O159" i="6"/>
  <c r="O46" i="6"/>
  <c r="P335" i="6"/>
  <c r="O127" i="7"/>
  <c r="M72" i="7"/>
  <c r="P72" i="7" s="1"/>
  <c r="L333" i="7"/>
  <c r="O333" i="7" s="1"/>
  <c r="O358" i="7"/>
  <c r="P176" i="7"/>
  <c r="L157" i="7"/>
  <c r="O157" i="7" s="1"/>
  <c r="M21" i="7"/>
  <c r="M20" i="7"/>
  <c r="P23" i="7"/>
  <c r="N356" i="7"/>
  <c r="P356" i="7" s="1"/>
  <c r="M320" i="6"/>
  <c r="P320" i="6" s="1"/>
  <c r="P141" i="7"/>
  <c r="M139" i="7"/>
  <c r="P139" i="7" s="1"/>
  <c r="M333" i="7"/>
  <c r="P333" i="7" s="1"/>
  <c r="P335" i="7"/>
  <c r="M44" i="7"/>
  <c r="P127" i="7"/>
  <c r="M125" i="7"/>
  <c r="P125" i="7" s="1"/>
  <c r="I231" i="7"/>
  <c r="K242" i="7"/>
  <c r="L320" i="6"/>
  <c r="O320" i="6" s="1"/>
  <c r="O19" i="7"/>
  <c r="L94" i="7"/>
  <c r="O94" i="7" s="1"/>
  <c r="O96" i="7"/>
  <c r="K83" i="7"/>
  <c r="I71" i="7"/>
  <c r="K71" i="7" s="1"/>
  <c r="O44" i="7"/>
  <c r="O46" i="7"/>
  <c r="O61" i="7"/>
  <c r="L59" i="7"/>
  <c r="O59" i="7" s="1"/>
  <c r="L320" i="7"/>
  <c r="O320" i="7" s="1"/>
  <c r="O322" i="7"/>
  <c r="P26" i="3"/>
  <c r="O175" i="3"/>
  <c r="O322" i="5"/>
  <c r="L377" i="6"/>
  <c r="O377" i="6" s="1"/>
  <c r="N20" i="7"/>
  <c r="N18" i="7" s="1"/>
  <c r="N21" i="7"/>
  <c r="O21" i="7" s="1"/>
  <c r="O188" i="7"/>
  <c r="L186" i="7"/>
  <c r="O186" i="7" s="1"/>
  <c r="M24" i="7"/>
  <c r="P24" i="7" s="1"/>
  <c r="P26" i="7"/>
  <c r="M157" i="7"/>
  <c r="P157" i="7" s="1"/>
  <c r="M282" i="7"/>
  <c r="P282" i="7" s="1"/>
  <c r="O359" i="7"/>
  <c r="M186" i="7"/>
  <c r="P186" i="7" s="1"/>
  <c r="L20" i="7"/>
  <c r="O23" i="7"/>
  <c r="P59" i="7"/>
  <c r="O358" i="4"/>
  <c r="P61" i="7"/>
  <c r="L24" i="7"/>
  <c r="O24" i="7" s="1"/>
  <c r="M173" i="7"/>
  <c r="P173" i="7" s="1"/>
  <c r="M266" i="7"/>
  <c r="P266" i="7" s="1"/>
  <c r="L377" i="7"/>
  <c r="O377" i="7" s="1"/>
  <c r="P356" i="6"/>
  <c r="M94" i="6"/>
  <c r="P94" i="6" s="1"/>
  <c r="P61" i="6"/>
  <c r="O379" i="4"/>
  <c r="L282" i="6"/>
  <c r="O282" i="6" s="1"/>
  <c r="O268" i="6"/>
  <c r="P175" i="3"/>
  <c r="P61" i="5"/>
  <c r="P47" i="5"/>
  <c r="O160" i="6"/>
  <c r="M157" i="6"/>
  <c r="P157" i="6" s="1"/>
  <c r="M266" i="6"/>
  <c r="P266" i="6" s="1"/>
  <c r="O176" i="6"/>
  <c r="P59" i="6"/>
  <c r="I70" i="6"/>
  <c r="K70" i="6" s="1"/>
  <c r="P175" i="6"/>
  <c r="M72" i="5"/>
  <c r="P72" i="5" s="1"/>
  <c r="L24" i="6"/>
  <c r="O24" i="6" s="1"/>
  <c r="M173" i="6"/>
  <c r="P173" i="6" s="1"/>
  <c r="O47" i="6"/>
  <c r="P176" i="6"/>
  <c r="P335" i="5"/>
  <c r="P62" i="6"/>
  <c r="P186" i="6"/>
  <c r="O74" i="6"/>
  <c r="L72" i="6"/>
  <c r="O72" i="6" s="1"/>
  <c r="O188" i="6"/>
  <c r="L186" i="6"/>
  <c r="O186" i="6" s="1"/>
  <c r="O335" i="6"/>
  <c r="L333" i="6"/>
  <c r="O333" i="6" s="1"/>
  <c r="L139" i="6"/>
  <c r="O139" i="6" s="1"/>
  <c r="K83" i="6"/>
  <c r="I71" i="6"/>
  <c r="K71" i="6" s="1"/>
  <c r="N44" i="6"/>
  <c r="P44" i="6" s="1"/>
  <c r="N303" i="6"/>
  <c r="P303" i="6" s="1"/>
  <c r="P305" i="6"/>
  <c r="P23" i="6"/>
  <c r="M20" i="6"/>
  <c r="P358" i="6"/>
  <c r="L356" i="6"/>
  <c r="O356" i="6" s="1"/>
  <c r="O358" i="6"/>
  <c r="M94" i="4"/>
  <c r="P94" i="4" s="1"/>
  <c r="M377" i="6"/>
  <c r="P377" i="6" s="1"/>
  <c r="P379" i="6"/>
  <c r="M72" i="6"/>
  <c r="P72" i="6" s="1"/>
  <c r="L232" i="6"/>
  <c r="O243" i="6"/>
  <c r="M333" i="6"/>
  <c r="P333" i="6" s="1"/>
  <c r="P188" i="6"/>
  <c r="O61" i="6"/>
  <c r="L59" i="6"/>
  <c r="O19" i="6"/>
  <c r="I231" i="6"/>
  <c r="K242" i="6"/>
  <c r="N20" i="6"/>
  <c r="N18" i="6" s="1"/>
  <c r="N21" i="6"/>
  <c r="P21" i="6" s="1"/>
  <c r="M282" i="6"/>
  <c r="P282" i="6" s="1"/>
  <c r="L20" i="6"/>
  <c r="O23" i="6"/>
  <c r="P127" i="6"/>
  <c r="M125" i="6"/>
  <c r="P125" i="6" s="1"/>
  <c r="L21" i="6"/>
  <c r="L94" i="6"/>
  <c r="O94" i="6" s="1"/>
  <c r="O96" i="6"/>
  <c r="O305" i="6"/>
  <c r="L157" i="5"/>
  <c r="O157" i="5" s="1"/>
  <c r="P46" i="6"/>
  <c r="P141" i="6"/>
  <c r="M139" i="6"/>
  <c r="P139" i="6" s="1"/>
  <c r="M24" i="6"/>
  <c r="P24" i="6" s="1"/>
  <c r="P26" i="6"/>
  <c r="O141" i="5"/>
  <c r="M125" i="5"/>
  <c r="P125" i="5" s="1"/>
  <c r="L282" i="5"/>
  <c r="O282" i="5" s="1"/>
  <c r="M94" i="5"/>
  <c r="P94" i="5" s="1"/>
  <c r="O141" i="4"/>
  <c r="L232" i="5"/>
  <c r="O96" i="3"/>
  <c r="O74" i="3"/>
  <c r="O306" i="4"/>
  <c r="O74" i="4"/>
  <c r="O75" i="1"/>
  <c r="O59" i="5"/>
  <c r="P62" i="5"/>
  <c r="L72" i="5"/>
  <c r="O72" i="5" s="1"/>
  <c r="P188" i="5"/>
  <c r="I231" i="4"/>
  <c r="I185" i="4" s="1"/>
  <c r="K185" i="4" s="1"/>
  <c r="O243" i="5"/>
  <c r="L377" i="5"/>
  <c r="O377" i="5" s="1"/>
  <c r="P139" i="5"/>
  <c r="O61" i="5"/>
  <c r="O175" i="5"/>
  <c r="L173" i="5"/>
  <c r="O173" i="5" s="1"/>
  <c r="L303" i="5"/>
  <c r="O303" i="5" s="1"/>
  <c r="O359" i="5"/>
  <c r="N20" i="5"/>
  <c r="N18" i="5" s="1"/>
  <c r="M377" i="5"/>
  <c r="P377" i="5" s="1"/>
  <c r="P46" i="5"/>
  <c r="P189" i="5"/>
  <c r="P186" i="5"/>
  <c r="M173" i="5"/>
  <c r="P173" i="5" s="1"/>
  <c r="P305" i="5"/>
  <c r="M303" i="5"/>
  <c r="P303" i="5" s="1"/>
  <c r="M59" i="5"/>
  <c r="P59" i="5" s="1"/>
  <c r="P47" i="1"/>
  <c r="P188" i="4"/>
  <c r="K83" i="4"/>
  <c r="L24" i="5"/>
  <c r="O24" i="5" s="1"/>
  <c r="L320" i="5"/>
  <c r="O320" i="5" s="1"/>
  <c r="P142" i="5"/>
  <c r="O23" i="5"/>
  <c r="L20" i="5"/>
  <c r="L94" i="5"/>
  <c r="O94" i="5" s="1"/>
  <c r="L125" i="5"/>
  <c r="O125" i="5" s="1"/>
  <c r="O127" i="5"/>
  <c r="P141" i="5"/>
  <c r="N333" i="5"/>
  <c r="M282" i="5"/>
  <c r="P282" i="5" s="1"/>
  <c r="O139" i="5"/>
  <c r="O335" i="5"/>
  <c r="O356" i="5"/>
  <c r="O358" i="5"/>
  <c r="K242" i="4"/>
  <c r="O188" i="5"/>
  <c r="L186" i="5"/>
  <c r="O186" i="5" s="1"/>
  <c r="O46" i="5"/>
  <c r="M157" i="5"/>
  <c r="P157" i="5" s="1"/>
  <c r="M21" i="5"/>
  <c r="P23" i="5"/>
  <c r="M20" i="5"/>
  <c r="N21" i="5"/>
  <c r="M356" i="5"/>
  <c r="P356" i="5" s="1"/>
  <c r="P358" i="5"/>
  <c r="L21" i="5"/>
  <c r="M320" i="5"/>
  <c r="P320" i="5" s="1"/>
  <c r="O44" i="5"/>
  <c r="O47" i="1"/>
  <c r="O222" i="1"/>
  <c r="O303" i="4"/>
  <c r="K242" i="5"/>
  <c r="I231" i="5"/>
  <c r="M266" i="5"/>
  <c r="P266" i="5" s="1"/>
  <c r="P268" i="5"/>
  <c r="M24" i="5"/>
  <c r="P24" i="5" s="1"/>
  <c r="M44" i="5"/>
  <c r="K82" i="5"/>
  <c r="I70" i="5"/>
  <c r="K70" i="5" s="1"/>
  <c r="L266" i="5"/>
  <c r="O266" i="5" s="1"/>
  <c r="K83" i="5"/>
  <c r="I71" i="5"/>
  <c r="K71" i="5" s="1"/>
  <c r="P188" i="3"/>
  <c r="M157" i="3"/>
  <c r="P157" i="3" s="1"/>
  <c r="O141" i="3"/>
  <c r="O44" i="4"/>
  <c r="P141" i="4"/>
  <c r="O97" i="1"/>
  <c r="L266" i="2"/>
  <c r="O266" i="2" s="1"/>
  <c r="O305" i="4"/>
  <c r="L282" i="4"/>
  <c r="O282" i="4" s="1"/>
  <c r="P96" i="2"/>
  <c r="M139" i="4"/>
  <c r="P139" i="4" s="1"/>
  <c r="O322" i="4"/>
  <c r="O175" i="4"/>
  <c r="P97" i="1"/>
  <c r="P305" i="2"/>
  <c r="L139" i="4"/>
  <c r="O139" i="4" s="1"/>
  <c r="L232" i="3"/>
  <c r="O335" i="4"/>
  <c r="O359" i="4"/>
  <c r="P358" i="3"/>
  <c r="P359" i="4"/>
  <c r="P305" i="4"/>
  <c r="P74" i="3"/>
  <c r="M320" i="4"/>
  <c r="P320" i="4" s="1"/>
  <c r="O59" i="3"/>
  <c r="O358" i="3"/>
  <c r="P303" i="4"/>
  <c r="M72" i="4"/>
  <c r="P72" i="4" s="1"/>
  <c r="O46" i="4"/>
  <c r="M266" i="4"/>
  <c r="P266" i="4" s="1"/>
  <c r="M377" i="4"/>
  <c r="P377" i="4" s="1"/>
  <c r="O188" i="4"/>
  <c r="O333" i="4"/>
  <c r="P23" i="4"/>
  <c r="M20" i="4"/>
  <c r="M18" i="4" s="1"/>
  <c r="P61" i="4"/>
  <c r="N59" i="4"/>
  <c r="P59" i="4" s="1"/>
  <c r="P19" i="4"/>
  <c r="P127" i="4"/>
  <c r="M125" i="4"/>
  <c r="P125" i="4" s="1"/>
  <c r="M24" i="4"/>
  <c r="P24" i="4" s="1"/>
  <c r="P26" i="4"/>
  <c r="M333" i="4"/>
  <c r="P333" i="4" s="1"/>
  <c r="P335" i="4"/>
  <c r="O159" i="4"/>
  <c r="L356" i="4"/>
  <c r="O356" i="4" s="1"/>
  <c r="L303" i="2"/>
  <c r="O303" i="2" s="1"/>
  <c r="I70" i="3"/>
  <c r="K70" i="3" s="1"/>
  <c r="I70" i="4"/>
  <c r="K70" i="4" s="1"/>
  <c r="K82" i="4"/>
  <c r="M157" i="4"/>
  <c r="P157" i="4" s="1"/>
  <c r="N186" i="4"/>
  <c r="P284" i="4"/>
  <c r="M282" i="4"/>
  <c r="P282" i="4" s="1"/>
  <c r="L24" i="4"/>
  <c r="O24" i="4" s="1"/>
  <c r="L94" i="4"/>
  <c r="O94" i="4" s="1"/>
  <c r="O96" i="4"/>
  <c r="O243" i="4"/>
  <c r="L232" i="4"/>
  <c r="O19" i="4"/>
  <c r="L20" i="4"/>
  <c r="L18" i="4" s="1"/>
  <c r="O23" i="4"/>
  <c r="L21" i="4"/>
  <c r="O157" i="4"/>
  <c r="M356" i="4"/>
  <c r="P356" i="4" s="1"/>
  <c r="P358" i="4"/>
  <c r="O61" i="4"/>
  <c r="L266" i="4"/>
  <c r="O266" i="4" s="1"/>
  <c r="P46" i="4"/>
  <c r="M44" i="4"/>
  <c r="M282" i="3"/>
  <c r="P282" i="3" s="1"/>
  <c r="L157" i="3"/>
  <c r="O157" i="3" s="1"/>
  <c r="M21" i="4"/>
  <c r="P175" i="4"/>
  <c r="M173" i="4"/>
  <c r="P173" i="4" s="1"/>
  <c r="N20" i="4"/>
  <c r="N18" i="4" s="1"/>
  <c r="N21" i="4"/>
  <c r="L125" i="4"/>
  <c r="O125" i="4" s="1"/>
  <c r="O173" i="4"/>
  <c r="P61" i="3"/>
  <c r="P46" i="3"/>
  <c r="M20" i="3"/>
  <c r="M18" i="3" s="1"/>
  <c r="M157" i="2"/>
  <c r="P157" i="2" s="1"/>
  <c r="M303" i="3"/>
  <c r="P303" i="3" s="1"/>
  <c r="P359" i="3"/>
  <c r="M356" i="3"/>
  <c r="P356" i="3" s="1"/>
  <c r="P96" i="3"/>
  <c r="M94" i="3"/>
  <c r="P94" i="3" s="1"/>
  <c r="O175" i="2"/>
  <c r="K70" i="1"/>
  <c r="L173" i="3"/>
  <c r="O173" i="3" s="1"/>
  <c r="M173" i="3"/>
  <c r="P173" i="3" s="1"/>
  <c r="O243" i="3"/>
  <c r="L157" i="1"/>
  <c r="O127" i="3"/>
  <c r="P379" i="3"/>
  <c r="P268" i="3"/>
  <c r="M266" i="3"/>
  <c r="P266" i="3" s="1"/>
  <c r="I71" i="3"/>
  <c r="K71" i="3" s="1"/>
  <c r="O284" i="3"/>
  <c r="P127" i="3"/>
  <c r="M125" i="3"/>
  <c r="P125" i="3" s="1"/>
  <c r="L21" i="3"/>
  <c r="L20" i="3"/>
  <c r="O23" i="3"/>
  <c r="O335" i="3"/>
  <c r="L333" i="3"/>
  <c r="O333" i="3" s="1"/>
  <c r="N333" i="1"/>
  <c r="M24" i="1"/>
  <c r="P24" i="1" s="1"/>
  <c r="K82" i="2"/>
  <c r="N24" i="1"/>
  <c r="L266" i="3"/>
  <c r="O266" i="3" s="1"/>
  <c r="O268" i="3"/>
  <c r="P44" i="3"/>
  <c r="K332" i="1"/>
  <c r="N44" i="1"/>
  <c r="O322" i="2"/>
  <c r="O320" i="2"/>
  <c r="L24" i="3"/>
  <c r="O24" i="3" s="1"/>
  <c r="P47" i="3"/>
  <c r="L377" i="3"/>
  <c r="O377" i="3" s="1"/>
  <c r="O379" i="3"/>
  <c r="P335" i="3"/>
  <c r="M72" i="2"/>
  <c r="P72" i="2" s="1"/>
  <c r="P322" i="2"/>
  <c r="M59" i="3"/>
  <c r="P59" i="3" s="1"/>
  <c r="M320" i="3"/>
  <c r="P320" i="3" s="1"/>
  <c r="O44" i="3"/>
  <c r="N40" i="3"/>
  <c r="L303" i="3"/>
  <c r="O303" i="3" s="1"/>
  <c r="O305" i="3"/>
  <c r="N20" i="3"/>
  <c r="N18" i="3" s="1"/>
  <c r="N21" i="3"/>
  <c r="P21" i="3" s="1"/>
  <c r="L320" i="3"/>
  <c r="O320" i="3" s="1"/>
  <c r="P23" i="3"/>
  <c r="P142" i="2"/>
  <c r="P141" i="3"/>
  <c r="M139" i="3"/>
  <c r="P139" i="3" s="1"/>
  <c r="O188" i="2"/>
  <c r="O188" i="3"/>
  <c r="L186" i="3"/>
  <c r="M333" i="3"/>
  <c r="P333" i="3" s="1"/>
  <c r="M186" i="3"/>
  <c r="P186" i="3" s="1"/>
  <c r="O46" i="3"/>
  <c r="O61" i="3"/>
  <c r="P62" i="3"/>
  <c r="K231" i="3"/>
  <c r="I185" i="3"/>
  <c r="K185" i="3" s="1"/>
  <c r="L356" i="3"/>
  <c r="O356" i="3" s="1"/>
  <c r="O356" i="2"/>
  <c r="O141" i="2"/>
  <c r="O46" i="1"/>
  <c r="O142" i="1"/>
  <c r="L186" i="2"/>
  <c r="P176" i="2"/>
  <c r="O157" i="2"/>
  <c r="K332" i="2"/>
  <c r="L24" i="1"/>
  <c r="O24" i="1" s="1"/>
  <c r="M377" i="2"/>
  <c r="P377" i="2" s="1"/>
  <c r="O335" i="2"/>
  <c r="L377" i="2"/>
  <c r="O377" i="2" s="1"/>
  <c r="P335" i="1"/>
  <c r="O214" i="1"/>
  <c r="P62" i="1"/>
  <c r="O335" i="1"/>
  <c r="P188" i="1"/>
  <c r="O74" i="2"/>
  <c r="L333" i="2"/>
  <c r="O333" i="2" s="1"/>
  <c r="O176" i="1"/>
  <c r="O160" i="1"/>
  <c r="P188" i="2"/>
  <c r="P284" i="2"/>
  <c r="M282" i="2"/>
  <c r="P282" i="2" s="1"/>
  <c r="P323" i="2"/>
  <c r="M303" i="1"/>
  <c r="O188" i="1"/>
  <c r="N21" i="1"/>
  <c r="O62" i="2"/>
  <c r="P335" i="2"/>
  <c r="P46" i="2"/>
  <c r="O159" i="2"/>
  <c r="O358" i="2"/>
  <c r="L94" i="2"/>
  <c r="O94" i="2" s="1"/>
  <c r="P285" i="1"/>
  <c r="O61" i="2"/>
  <c r="L59" i="2"/>
  <c r="O59" i="2" s="1"/>
  <c r="O46" i="2"/>
  <c r="N173" i="2"/>
  <c r="N40" i="2" s="1"/>
  <c r="M320" i="2"/>
  <c r="P320" i="2" s="1"/>
  <c r="M20" i="2"/>
  <c r="P23" i="2"/>
  <c r="M333" i="2"/>
  <c r="P333" i="2" s="1"/>
  <c r="L139" i="1"/>
  <c r="M173" i="1"/>
  <c r="O62" i="1"/>
  <c r="K82" i="1"/>
  <c r="N20" i="1"/>
  <c r="L20" i="2"/>
  <c r="O23" i="2"/>
  <c r="M21" i="2"/>
  <c r="O44" i="2"/>
  <c r="P175" i="2"/>
  <c r="L24" i="2"/>
  <c r="O24" i="2" s="1"/>
  <c r="K231" i="2"/>
  <c r="I185" i="2"/>
  <c r="K185" i="2" s="1"/>
  <c r="L232" i="2"/>
  <c r="O243" i="2"/>
  <c r="O186" i="2"/>
  <c r="P59" i="2"/>
  <c r="P61" i="2"/>
  <c r="P189" i="1"/>
  <c r="P141" i="2"/>
  <c r="M139" i="2"/>
  <c r="P139" i="2" s="1"/>
  <c r="P44" i="2"/>
  <c r="M356" i="2"/>
  <c r="P356" i="2" s="1"/>
  <c r="P358" i="2"/>
  <c r="M266" i="2"/>
  <c r="P266" i="2" s="1"/>
  <c r="P268" i="2"/>
  <c r="O232" i="1"/>
  <c r="O141" i="1"/>
  <c r="O203" i="1"/>
  <c r="O175" i="1"/>
  <c r="O96" i="1"/>
  <c r="K83" i="2"/>
  <c r="I71" i="2"/>
  <c r="K71" i="2" s="1"/>
  <c r="L139" i="2"/>
  <c r="O139" i="2" s="1"/>
  <c r="L21" i="2"/>
  <c r="P127" i="2"/>
  <c r="M125" i="2"/>
  <c r="P125" i="2" s="1"/>
  <c r="M186" i="2"/>
  <c r="P186" i="2" s="1"/>
  <c r="O176" i="2"/>
  <c r="O189" i="1"/>
  <c r="N20" i="2"/>
  <c r="N18" i="2" s="1"/>
  <c r="N21" i="2"/>
  <c r="L125" i="2"/>
  <c r="O125" i="2" s="1"/>
  <c r="L282" i="2"/>
  <c r="O282" i="2" s="1"/>
  <c r="M24" i="2"/>
  <c r="P24" i="2" s="1"/>
  <c r="N139" i="1"/>
  <c r="O336" i="1"/>
  <c r="P359" i="1"/>
  <c r="L266" i="1"/>
  <c r="O266" i="1" s="1"/>
  <c r="O25" i="1"/>
  <c r="P336" i="1"/>
  <c r="K83" i="1"/>
  <c r="N157" i="1"/>
  <c r="K71" i="1"/>
  <c r="P306" i="1"/>
  <c r="N19" i="1"/>
  <c r="L320" i="1"/>
  <c r="O320" i="1" s="1"/>
  <c r="L20" i="1"/>
  <c r="N125" i="1"/>
  <c r="M333" i="1"/>
  <c r="P75" i="1"/>
  <c r="O323" i="1"/>
  <c r="P323" i="1"/>
  <c r="L94" i="1"/>
  <c r="M282" i="1"/>
  <c r="P282" i="1" s="1"/>
  <c r="N266" i="1"/>
  <c r="M186" i="1"/>
  <c r="O306" i="1"/>
  <c r="P96" i="1"/>
  <c r="L377" i="1"/>
  <c r="O377" i="1" s="1"/>
  <c r="O285" i="1"/>
  <c r="N94" i="1"/>
  <c r="O23" i="1"/>
  <c r="O159" i="1"/>
  <c r="I169" i="1"/>
  <c r="K169" i="1" s="1"/>
  <c r="K168" i="1"/>
  <c r="M157" i="1"/>
  <c r="P157" i="1" s="1"/>
  <c r="P158" i="1"/>
  <c r="O28" i="1"/>
  <c r="L27" i="1"/>
  <c r="O27" i="1" s="1"/>
  <c r="L356" i="1"/>
  <c r="O356" i="1" s="1"/>
  <c r="O357" i="1"/>
  <c r="L282" i="1"/>
  <c r="O282" i="1" s="1"/>
  <c r="O283" i="1"/>
  <c r="L59" i="1"/>
  <c r="O60" i="1"/>
  <c r="P73" i="1"/>
  <c r="M72" i="1"/>
  <c r="P72" i="1" s="1"/>
  <c r="P23" i="1"/>
  <c r="M20" i="1"/>
  <c r="O73" i="1"/>
  <c r="L72" i="1"/>
  <c r="O72" i="1" s="1"/>
  <c r="P321" i="1"/>
  <c r="M320" i="1"/>
  <c r="P320" i="1" s="1"/>
  <c r="M44" i="1"/>
  <c r="P46" i="1"/>
  <c r="L303" i="1"/>
  <c r="O304" i="1"/>
  <c r="L125" i="1"/>
  <c r="O125" i="1" s="1"/>
  <c r="O22" i="1"/>
  <c r="L19" i="1"/>
  <c r="L21" i="1"/>
  <c r="L333" i="1"/>
  <c r="O334" i="1"/>
  <c r="L44" i="1"/>
  <c r="O45" i="1"/>
  <c r="P95" i="1"/>
  <c r="M94" i="1"/>
  <c r="P267" i="1"/>
  <c r="M266" i="1"/>
  <c r="P266" i="1" s="1"/>
  <c r="M356" i="1"/>
  <c r="P356" i="1" s="1"/>
  <c r="L186" i="1"/>
  <c r="O187" i="1"/>
  <c r="P176" i="1"/>
  <c r="O359" i="1"/>
  <c r="N173" i="1"/>
  <c r="P126" i="1"/>
  <c r="M125" i="1"/>
  <c r="P125" i="1" s="1"/>
  <c r="P142" i="1"/>
  <c r="L173" i="1"/>
  <c r="O174" i="1"/>
  <c r="P175" i="1"/>
  <c r="P22" i="1"/>
  <c r="M19" i="1"/>
  <c r="M21" i="1"/>
  <c r="P29" i="1"/>
  <c r="M27" i="1"/>
  <c r="P27" i="1" s="1"/>
  <c r="P140" i="1"/>
  <c r="M139" i="1"/>
  <c r="M59" i="1"/>
  <c r="P61" i="1"/>
  <c r="M377" i="1"/>
  <c r="P377" i="1" s="1"/>
  <c r="P378" i="1"/>
  <c r="P173" i="22" l="1"/>
  <c r="O303" i="1"/>
  <c r="P303" i="1"/>
  <c r="O356" i="22"/>
  <c r="P21" i="17"/>
  <c r="O18" i="22"/>
  <c r="P18" i="22"/>
  <c r="O21" i="22"/>
  <c r="M40" i="22"/>
  <c r="N40" i="22"/>
  <c r="I185" i="22"/>
  <c r="K185" i="22" s="1"/>
  <c r="K231" i="22"/>
  <c r="P20" i="22"/>
  <c r="O59" i="22"/>
  <c r="L40" i="22"/>
  <c r="O20" i="22"/>
  <c r="O333" i="22"/>
  <c r="I185" i="21"/>
  <c r="K185" i="21" s="1"/>
  <c r="O20" i="21"/>
  <c r="L18" i="21"/>
  <c r="O18" i="21" s="1"/>
  <c r="O333" i="20"/>
  <c r="P20" i="21"/>
  <c r="M18" i="21"/>
  <c r="P18" i="21" s="1"/>
  <c r="P44" i="21"/>
  <c r="M40" i="21"/>
  <c r="P40" i="21" s="1"/>
  <c r="O320" i="21"/>
  <c r="L40" i="21"/>
  <c r="O40" i="21" s="1"/>
  <c r="O21" i="6"/>
  <c r="P18" i="20"/>
  <c r="O21" i="20"/>
  <c r="P356" i="20"/>
  <c r="P21" i="20"/>
  <c r="O186" i="20"/>
  <c r="O59" i="20"/>
  <c r="L40" i="20"/>
  <c r="K231" i="20"/>
  <c r="I185" i="20"/>
  <c r="K185" i="20" s="1"/>
  <c r="P44" i="20"/>
  <c r="M40" i="20"/>
  <c r="N40" i="20"/>
  <c r="O44" i="20"/>
  <c r="O20" i="20"/>
  <c r="L18" i="20"/>
  <c r="O18" i="20" s="1"/>
  <c r="P20" i="20"/>
  <c r="P59" i="1"/>
  <c r="O18" i="19"/>
  <c r="O20" i="19"/>
  <c r="O59" i="1"/>
  <c r="P21" i="19"/>
  <c r="L40" i="19"/>
  <c r="O356" i="19"/>
  <c r="K231" i="16"/>
  <c r="K231" i="17"/>
  <c r="P44" i="19"/>
  <c r="M40" i="19"/>
  <c r="K231" i="19"/>
  <c r="I185" i="19"/>
  <c r="K185" i="19" s="1"/>
  <c r="P20" i="19"/>
  <c r="M18" i="19"/>
  <c r="P18" i="19" s="1"/>
  <c r="N40" i="19"/>
  <c r="N40" i="18"/>
  <c r="P173" i="18"/>
  <c r="O320" i="18"/>
  <c r="O59" i="18"/>
  <c r="L40" i="18"/>
  <c r="P20" i="18"/>
  <c r="M18" i="18"/>
  <c r="P18" i="18" s="1"/>
  <c r="P21" i="18"/>
  <c r="P44" i="18"/>
  <c r="M40" i="18"/>
  <c r="O20" i="18"/>
  <c r="L18" i="18"/>
  <c r="O18" i="18" s="1"/>
  <c r="K231" i="18"/>
  <c r="I185" i="18"/>
  <c r="K185" i="18" s="1"/>
  <c r="N40" i="16"/>
  <c r="P44" i="17"/>
  <c r="P20" i="17"/>
  <c r="M18" i="17"/>
  <c r="P18" i="17" s="1"/>
  <c r="M40" i="17"/>
  <c r="P40" i="17" s="1"/>
  <c r="O44" i="17"/>
  <c r="L40" i="17"/>
  <c r="O40" i="17" s="1"/>
  <c r="O20" i="17"/>
  <c r="L18" i="17"/>
  <c r="O18" i="17" s="1"/>
  <c r="P21" i="16"/>
  <c r="P44" i="16"/>
  <c r="M40" i="16"/>
  <c r="N40" i="12"/>
  <c r="O186" i="16"/>
  <c r="L40" i="16"/>
  <c r="O20" i="16"/>
  <c r="L18" i="16"/>
  <c r="O18" i="16" s="1"/>
  <c r="P20" i="16"/>
  <c r="M18" i="16"/>
  <c r="P18" i="16" s="1"/>
  <c r="O21" i="15"/>
  <c r="I185" i="14"/>
  <c r="K185" i="14" s="1"/>
  <c r="P21" i="15"/>
  <c r="O20" i="15"/>
  <c r="L18" i="15"/>
  <c r="O18" i="15" s="1"/>
  <c r="P44" i="15"/>
  <c r="M40" i="15"/>
  <c r="L40" i="15"/>
  <c r="K231" i="15"/>
  <c r="I185" i="15"/>
  <c r="K185" i="15" s="1"/>
  <c r="P333" i="15"/>
  <c r="P20" i="15"/>
  <c r="M18" i="15"/>
  <c r="P18" i="15" s="1"/>
  <c r="N40" i="15"/>
  <c r="O20" i="14"/>
  <c r="O20" i="13"/>
  <c r="O21" i="14"/>
  <c r="P173" i="12"/>
  <c r="L40" i="14"/>
  <c r="O40" i="14" s="1"/>
  <c r="P20" i="14"/>
  <c r="M18" i="14"/>
  <c r="P18" i="14" s="1"/>
  <c r="P21" i="14"/>
  <c r="M40" i="14"/>
  <c r="P40" i="14" s="1"/>
  <c r="L18" i="14"/>
  <c r="O18" i="14" s="1"/>
  <c r="N40" i="13"/>
  <c r="P21" i="13"/>
  <c r="O303" i="13"/>
  <c r="K231" i="13"/>
  <c r="I185" i="13"/>
  <c r="K185" i="13" s="1"/>
  <c r="P44" i="13"/>
  <c r="M40" i="13"/>
  <c r="O94" i="13"/>
  <c r="L40" i="13"/>
  <c r="L18" i="13"/>
  <c r="O18" i="13" s="1"/>
  <c r="P20" i="13"/>
  <c r="M18" i="13"/>
  <c r="P18" i="13" s="1"/>
  <c r="O186" i="1"/>
  <c r="O44" i="12"/>
  <c r="P186" i="1"/>
  <c r="P21" i="12"/>
  <c r="L40" i="12"/>
  <c r="P20" i="12"/>
  <c r="M18" i="12"/>
  <c r="P18" i="12" s="1"/>
  <c r="P44" i="12"/>
  <c r="M40" i="12"/>
  <c r="O186" i="9"/>
  <c r="O21" i="12"/>
  <c r="O20" i="12"/>
  <c r="K231" i="12"/>
  <c r="I185" i="12"/>
  <c r="K185" i="12" s="1"/>
  <c r="L18" i="12"/>
  <c r="O18" i="12" s="1"/>
  <c r="L40" i="11"/>
  <c r="O40" i="11" s="1"/>
  <c r="M40" i="11"/>
  <c r="P40" i="11" s="1"/>
  <c r="P21" i="11"/>
  <c r="P20" i="11"/>
  <c r="M18" i="11"/>
  <c r="P18" i="11" s="1"/>
  <c r="O20" i="11"/>
  <c r="L18" i="11"/>
  <c r="O18" i="11" s="1"/>
  <c r="P20" i="10"/>
  <c r="M18" i="10"/>
  <c r="P18" i="10" s="1"/>
  <c r="P59" i="10"/>
  <c r="M40" i="10"/>
  <c r="P40" i="10" s="1"/>
  <c r="O21" i="10"/>
  <c r="O18" i="10"/>
  <c r="O356" i="9"/>
  <c r="L40" i="10"/>
  <c r="O40" i="10" s="1"/>
  <c r="O20" i="10"/>
  <c r="O20" i="9"/>
  <c r="O333" i="9"/>
  <c r="L18" i="9"/>
  <c r="O18" i="9" s="1"/>
  <c r="O21" i="9"/>
  <c r="P21" i="9"/>
  <c r="O173" i="9"/>
  <c r="M40" i="9"/>
  <c r="P20" i="9"/>
  <c r="M18" i="9"/>
  <c r="P18" i="9" s="1"/>
  <c r="O125" i="9"/>
  <c r="L40" i="9"/>
  <c r="I185" i="9"/>
  <c r="K185" i="9" s="1"/>
  <c r="K231" i="9"/>
  <c r="N40" i="9"/>
  <c r="O44" i="9"/>
  <c r="N40" i="8"/>
  <c r="P21" i="8"/>
  <c r="O18" i="8"/>
  <c r="K231" i="8"/>
  <c r="I185" i="8"/>
  <c r="K185" i="8" s="1"/>
  <c r="M40" i="8"/>
  <c r="O186" i="8"/>
  <c r="P20" i="8"/>
  <c r="M18" i="8"/>
  <c r="P18" i="8" s="1"/>
  <c r="O59" i="8"/>
  <c r="L40" i="8"/>
  <c r="O20" i="8"/>
  <c r="O20" i="7"/>
  <c r="O356" i="7"/>
  <c r="L40" i="7"/>
  <c r="L18" i="7"/>
  <c r="O18" i="7" s="1"/>
  <c r="K231" i="4"/>
  <c r="P44" i="7"/>
  <c r="M40" i="7"/>
  <c r="N40" i="7"/>
  <c r="K231" i="7"/>
  <c r="I185" i="7"/>
  <c r="K185" i="7" s="1"/>
  <c r="P20" i="7"/>
  <c r="M18" i="7"/>
  <c r="P18" i="7" s="1"/>
  <c r="P21" i="7"/>
  <c r="O20" i="6"/>
  <c r="L18" i="6"/>
  <c r="O18" i="6" s="1"/>
  <c r="N40" i="6"/>
  <c r="O44" i="6"/>
  <c r="O59" i="6"/>
  <c r="L40" i="6"/>
  <c r="M40" i="6"/>
  <c r="P20" i="6"/>
  <c r="M18" i="6"/>
  <c r="P18" i="6" s="1"/>
  <c r="O303" i="6"/>
  <c r="K231" i="6"/>
  <c r="I185" i="6"/>
  <c r="K185" i="6" s="1"/>
  <c r="O21" i="5"/>
  <c r="P21" i="5"/>
  <c r="O20" i="5"/>
  <c r="L18" i="5"/>
  <c r="O18" i="5" s="1"/>
  <c r="P333" i="5"/>
  <c r="O333" i="5"/>
  <c r="L40" i="5"/>
  <c r="P44" i="5"/>
  <c r="M40" i="5"/>
  <c r="P20" i="5"/>
  <c r="M18" i="5"/>
  <c r="P18" i="5" s="1"/>
  <c r="K231" i="5"/>
  <c r="I185" i="5"/>
  <c r="K185" i="5" s="1"/>
  <c r="N40" i="5"/>
  <c r="O21" i="4"/>
  <c r="O157" i="1"/>
  <c r="P20" i="3"/>
  <c r="O18" i="4"/>
  <c r="O20" i="4"/>
  <c r="P18" i="4"/>
  <c r="O333" i="1"/>
  <c r="P44" i="4"/>
  <c r="M40" i="4"/>
  <c r="N40" i="4"/>
  <c r="P20" i="4"/>
  <c r="P333" i="1"/>
  <c r="O59" i="4"/>
  <c r="L40" i="4"/>
  <c r="P21" i="4"/>
  <c r="O186" i="4"/>
  <c r="P186" i="4"/>
  <c r="P21" i="1"/>
  <c r="N18" i="1"/>
  <c r="P18" i="3"/>
  <c r="O20" i="3"/>
  <c r="L18" i="3"/>
  <c r="O18" i="3" s="1"/>
  <c r="P173" i="1"/>
  <c r="M40" i="3"/>
  <c r="P40" i="3" s="1"/>
  <c r="O21" i="3"/>
  <c r="O186" i="3"/>
  <c r="L40" i="3"/>
  <c r="O40" i="3" s="1"/>
  <c r="O21" i="1"/>
  <c r="O139" i="1"/>
  <c r="M40" i="2"/>
  <c r="P40" i="2" s="1"/>
  <c r="O20" i="2"/>
  <c r="L18" i="2"/>
  <c r="O18" i="2" s="1"/>
  <c r="P20" i="1"/>
  <c r="O21" i="2"/>
  <c r="P21" i="2"/>
  <c r="P173" i="2"/>
  <c r="O173" i="2"/>
  <c r="O20" i="1"/>
  <c r="P20" i="2"/>
  <c r="M18" i="2"/>
  <c r="P18" i="2" s="1"/>
  <c r="L40" i="2"/>
  <c r="O40" i="2" s="1"/>
  <c r="P139" i="1"/>
  <c r="O94" i="1"/>
  <c r="O173" i="1"/>
  <c r="N40" i="1"/>
  <c r="P94" i="1"/>
  <c r="M18" i="1"/>
  <c r="P19" i="1"/>
  <c r="L18" i="1"/>
  <c r="O18" i="1" s="1"/>
  <c r="O19" i="1"/>
  <c r="M40" i="1"/>
  <c r="P44" i="1"/>
  <c r="L40" i="1"/>
  <c r="O44" i="1"/>
  <c r="P40" i="22" l="1"/>
  <c r="O40" i="22"/>
  <c r="O40" i="20"/>
  <c r="P40" i="20"/>
  <c r="P40" i="13"/>
  <c r="O40" i="19"/>
  <c r="P40" i="19"/>
  <c r="O40" i="18"/>
  <c r="P40" i="18"/>
  <c r="P40" i="16"/>
  <c r="O40" i="16"/>
  <c r="O40" i="12"/>
  <c r="P40" i="12"/>
  <c r="P40" i="15"/>
  <c r="O40" i="15"/>
  <c r="O40" i="13"/>
  <c r="P40" i="9"/>
  <c r="O40" i="9"/>
  <c r="P40" i="8"/>
  <c r="O40" i="8"/>
  <c r="O40" i="7"/>
  <c r="P40" i="7"/>
  <c r="P40" i="6"/>
  <c r="O40" i="6"/>
  <c r="O40" i="5"/>
  <c r="P40" i="5"/>
  <c r="P40" i="4"/>
  <c r="O40" i="4"/>
  <c r="P18" i="1"/>
  <c r="O40" i="1"/>
  <c r="P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98" authorId="0" shapeId="0" xr:uid="{00000000-0006-0000-0000-000001000000}">
      <text>
        <r>
          <rPr>
            <sz val="10"/>
            <color rgb="FF000000"/>
            <rFont val="Arial"/>
            <scheme val="minor"/>
          </rPr>
          <t>840
	-สุดารัตน์ ชนะกุล</t>
        </r>
      </text>
    </comment>
  </commentList>
</comments>
</file>

<file path=xl/sharedStrings.xml><?xml version="1.0" encoding="utf-8"?>
<sst xmlns="http://schemas.openxmlformats.org/spreadsheetml/2006/main" count="14710" uniqueCount="188">
  <si>
    <t>รายละเอียดแผนงาน/โครงการ ผลผลิต/กิจกรรม ปีงบประมาณ พ.ศ. 2567</t>
  </si>
  <si>
    <t>รวมกลาง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</si>
  <si>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</si>
  <si>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</si>
  <si>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</si>
  <si>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</si>
  <si>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</si>
  <si>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</si>
  <si>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</si>
  <si>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</si>
  <si>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</si>
  <si>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</si>
  <si>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</si>
  <si>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</si>
  <si>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</si>
  <si>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 ประจำปีงบประมาณ พ.ศ. 2566 ไปพลางก่อน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</si>
  <si>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</si>
  <si>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</si>
  <si>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</si>
  <si>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</si>
  <si>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</si>
  <si>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</si>
  <si>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</si>
  <si>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</si>
  <si>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</si>
  <si>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</si>
  <si>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</si>
  <si>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</si>
  <si>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</si>
  <si>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</si>
  <si>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</si>
  <si>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</si>
  <si>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</si>
  <si>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</si>
  <si>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</si>
  <si>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</si>
  <si>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</si>
  <si>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</si>
  <si>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</si>
  <si>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</si>
  <si>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</si>
  <si>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</si>
  <si>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</si>
  <si>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</si>
  <si>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</si>
  <si>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</si>
  <si>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</si>
  <si>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</si>
  <si>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</si>
  <si>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</si>
  <si>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</si>
  <si>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</si>
  <si>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</si>
  <si>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</si>
  <si>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</si>
  <si>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</si>
  <si>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กลุ่ม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</si>
  <si>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</si>
  <si>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</si>
  <si>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</si>
  <si>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</si>
  <si>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</si>
  <si>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</si>
  <si>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</si>
  <si>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</si>
  <si>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</si>
  <si>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</si>
  <si>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</si>
  <si>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</si>
  <si>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</si>
  <si>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</si>
  <si>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</si>
  <si>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</si>
  <si>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</si>
  <si>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</si>
  <si>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</si>
  <si>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</si>
  <si>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</si>
  <si>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</si>
  <si>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</si>
  <si>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</si>
  <si>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ค่าเบี้ยเลี้ยง/ที่พัก/พาหนะ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</si>
  <si>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</si>
  <si>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</si>
  <si>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</si>
  <si>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</si>
  <si>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</si>
  <si>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</si>
  <si>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</si>
  <si>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</si>
  <si>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</si>
  <si>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</si>
  <si>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</si>
  <si>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</si>
  <si>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</si>
  <si>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</si>
  <si>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</si>
  <si>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</si>
  <si>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</si>
  <si>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</si>
  <si>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</si>
  <si>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>- งบปัจจัยต้นแบบ/ศูนย์/กิจกรรม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</si>
  <si>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</si>
  <si>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</si>
  <si>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</si>
  <si>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</si>
  <si>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</si>
  <si>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</si>
  <si>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</si>
  <si>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</si>
  <si>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</si>
  <si>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</si>
  <si>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</si>
  <si>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</si>
  <si>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</si>
  <si>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</si>
  <si>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</si>
  <si>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</si>
  <si>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</si>
  <si>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</si>
  <si>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</si>
  <si>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</si>
  <si>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ผู้ประกอบการต้นแบบ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</si>
  <si>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</si>
  <si>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</si>
  <si>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</si>
  <si>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</si>
  <si>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</si>
  <si>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</si>
  <si>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</si>
  <si>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</si>
  <si>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</si>
  <si>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</si>
  <si>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</si>
  <si>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</si>
  <si>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</si>
  <si>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</si>
  <si>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</si>
  <si>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</si>
  <si>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</si>
  <si>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</si>
  <si>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</si>
  <si>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</si>
  <si>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</si>
  <si>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</si>
  <si>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 (ภายใน พ.ค.67)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</si>
  <si>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</si>
  <si>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</si>
  <si>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</si>
  <si>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</si>
  <si>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</si>
  <si>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หมายเหตุ :</t>
  </si>
  <si>
    <t>- งบบริหารโครงการ</t>
  </si>
  <si>
    <t>(5) โครงการพัฒนาพื้นที่สูงแบบโครงการหลวงห้วยเขย่ง</t>
  </si>
  <si>
    <t>- ค่าใช้จ่ายในการปฏิบัติงาน</t>
  </si>
  <si>
    <t>- ค่าใช้จ่ายในการบริหารงาน</t>
  </si>
  <si>
    <t>สำนักงานการปฏิรูปที่ดินจังหวัด กาญจนบุรี</t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</si>
  <si>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</si>
  <si>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</si>
  <si>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b/>
        <sz val="15"/>
        <color theme="1"/>
        <rFont val="Arial"/>
      </rPr>
      <t xml:space="preserve">หลักสูตร </t>
    </r>
    <r>
      <rPr>
        <sz val="15"/>
        <color theme="1"/>
        <rFont val="Arial"/>
      </rPr>
      <t>แนวทางการเฝ้าระวังการเผาไหม้ฯ</t>
    </r>
  </si>
  <si>
    <t>(5) โครงการพัชรสุธาคชานุรักษ์</t>
  </si>
  <si>
    <r>
      <rPr>
        <b/>
        <sz val="15"/>
        <color theme="1"/>
        <rFont val="Arial"/>
      </rPr>
      <t>- หลักสูตรที่ 2</t>
    </r>
    <r>
      <rPr>
        <b/>
        <sz val="15"/>
        <color theme="1"/>
        <rFont val="Arial"/>
      </rPr>
      <t xml:space="preserve"> การแปรรูปสมุนไพรด้วยโรงอบ ฯ</t>
    </r>
  </si>
  <si>
    <r>
      <rPr>
        <b/>
        <sz val="15"/>
        <color theme="1"/>
        <rFont val="Arial"/>
      </rPr>
      <t>- หลักสูตรที่ 1</t>
    </r>
    <r>
      <rPr>
        <b/>
        <sz val="15"/>
        <color theme="1"/>
        <rFont val="Arial"/>
      </rPr>
      <t xml:space="preserve"> การดูแลรักษาโรงอบ ฯ</t>
    </r>
  </si>
  <si>
    <t>สำนักงานการปฏิรูปที่ดินจังหวัด จันทบุรี</t>
  </si>
  <si>
    <t>(6) โครงการพัชรสุธาคชานุรักษ์</t>
  </si>
  <si>
    <t>(5) โครงการที่ดินพระราชทาน</t>
  </si>
  <si>
    <t>สำนักงานการปฏิรูปที่ดินจังหวัด ฉะเชิงเทรา</t>
  </si>
  <si>
    <t>สำนักงานการปฏิรูปที่ดินจังหวัด ชลบุรี</t>
  </si>
  <si>
    <t>สำนักงานการปฏิรูปที่ดินจังหวัด ชัยนาท</t>
  </si>
  <si>
    <t>สำนักงานการปฏิรูปที่ดินจังหวัด ตราด</t>
  </si>
  <si>
    <t>สำนักงานการปฏิรูปที่ดินจังหวัด นครนายก</t>
  </si>
  <si>
    <t>สำนักงานการปฏิรูปที่ดินจังหวัด นครปฐม</t>
  </si>
  <si>
    <t>สำนักงานการปฏิรูปที่ดินจังหวัด ปทุมธานี</t>
  </si>
  <si>
    <t>สำนักงานการปฏิรูปที่ดินจังหวัด ประจวบคีรีขันธ์</t>
  </si>
  <si>
    <t>(5) โครงการพัฒนาพื้นที่ที่ราบเชิงเขาจังหวัดสระแก้ว-ปราจีนบุรี</t>
  </si>
  <si>
    <t>สำนักงานการปฏิรูปที่ดินจังหวัด ปราจีนบุรี</t>
  </si>
  <si>
    <t>สำนักงานการปฏิรูปที่ดินจังหวัด พระนครศรีอยุธยา</t>
  </si>
  <si>
    <t>สำนักงานการปฏิรูปที่ดินจังหวัด เพชรบุรี</t>
  </si>
  <si>
    <t>สำนักงานการปฏิรูปที่ดินจังหวัด ระยอง</t>
  </si>
  <si>
    <t>สำนักงานการปฏิรูปที่ดินจังหวัด ราชบุรี</t>
  </si>
  <si>
    <t>สำนักงานการปฏิรูปที่ดินจังหวัด ลพบุรี</t>
  </si>
  <si>
    <t>(6) โครงการพัฒนาพื้นที่ที่ราบเชิงเขา</t>
  </si>
  <si>
    <t>สำนักงานการปฏิรูปที่ดินจังหวัด สระแก้ว</t>
  </si>
  <si>
    <t>สำนักงานการปฏิรูปที่ดินจังหวัด สระบุรี</t>
  </si>
  <si>
    <t>สำนักงานการปฏิรูปที่ดินจังหวัด สิงห์บุรี</t>
  </si>
  <si>
    <t>สำนักงานการปฏิรูปที่ดินจังหวัด สุพรรณบุรี</t>
  </si>
  <si>
    <t>สำนักงานการปฏิรูปที่ดินจังหวัด อ่างทอง</t>
  </si>
  <si>
    <t>ข้อมูล ณ วันที่ 28 ธ.ค.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</si>
</sst>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_-;_-@"/>
  </numFmts>
  <fonts count="44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sz val="10"/>
      <color rgb="FF000000"/>
      <name val="Arial"/>
    </font>
    <font>
      <sz val="1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sz val="10"/>
      <color rgb="FFFF0000"/>
      <name val="Arial"/>
    </font>
    <font>
      <sz val="15"/>
      <color rgb="FFFF0000"/>
      <name val="Arial"/>
    </font>
    <font>
      <b/>
      <sz val="15"/>
      <color rgb="FFFF0000"/>
      <name val="Arial"/>
    </font>
    <font>
      <sz val="14"/>
      <color rgb="FFFF0000"/>
      <name val="Arial"/>
    </font>
    <font>
      <sz val="13"/>
      <color rgb="FFFF0000"/>
      <name val="Arial"/>
    </font>
    <font>
      <i/>
      <sz val="15"/>
      <color rgb="FFFF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FF0000"/>
      <name val="Arial"/>
    </font>
    <font>
      <b/>
      <u/>
      <sz val="15"/>
      <color rgb="FFFF0000"/>
      <name val="Arial"/>
    </font>
    <font>
      <sz val="14"/>
      <color rgb="FF000000"/>
      <name val="Arial"/>
    </font>
    <font>
      <b/>
      <sz val="15"/>
      <color rgb="FFFFFFFF"/>
      <name val="Arial"/>
    </font>
    <font>
      <sz val="10"/>
      <color rgb="FFFFFFFF"/>
      <name val="Arial"/>
    </font>
    <font>
      <b/>
      <sz val="15"/>
      <color theme="1"/>
      <name val="Arial"/>
    </font>
    <font>
      <sz val="10"/>
      <color theme="1"/>
      <name val="Arial"/>
    </font>
    <font>
      <b/>
      <u/>
      <sz val="15"/>
      <color theme="1"/>
      <name val="Arial"/>
    </font>
    <font>
      <i/>
      <sz val="13"/>
      <color theme="1"/>
      <name val="Arial"/>
    </font>
    <font>
      <b/>
      <u/>
      <sz val="15"/>
      <color theme="1"/>
      <name val="Arial"/>
    </font>
    <font>
      <b/>
      <u/>
      <sz val="15"/>
      <color rgb="FF000000"/>
      <name val="Arial"/>
    </font>
    <font>
      <sz val="13"/>
      <color rgb="FF000000"/>
      <name val="Arial"/>
    </font>
    <font>
      <i/>
      <sz val="15"/>
      <color rgb="FF000000"/>
      <name val="Arial"/>
    </font>
    <font>
      <i/>
      <sz val="13"/>
      <color rgb="FF000000"/>
      <name val="Arial"/>
    </font>
    <font>
      <sz val="10"/>
      <color rgb="FF000000"/>
      <name val="Arial"/>
      <scheme val="minor"/>
    </font>
    <font>
      <i/>
      <sz val="13"/>
      <color rgb="FF000000"/>
      <name val="Arial"/>
      <scheme val="minor"/>
    </font>
    <font>
      <u/>
      <sz val="15"/>
      <color rgb="FFFF0000"/>
      <name val="Arial"/>
    </font>
    <font>
      <u/>
      <sz val="15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6">
    <xf numFmtId="0" fontId="0" fillId="0" borderId="0" xfId="0" applyFont="1" applyAlignment="1"/>
    <xf numFmtId="0" fontId="2" fillId="2" borderId="0" xfId="0" applyFont="1" applyFill="1" applyAlignment="1"/>
    <xf numFmtId="187" fontId="2" fillId="2" borderId="0" xfId="0" applyNumberFormat="1" applyFont="1" applyFill="1" applyAlignment="1"/>
    <xf numFmtId="188" fontId="2" fillId="2" borderId="0" xfId="0" applyNumberFormat="1" applyFont="1" applyFill="1" applyAlignment="1"/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88" fontId="1" fillId="4" borderId="12" xfId="0" applyNumberFormat="1" applyFont="1" applyFill="1" applyBorder="1" applyAlignment="1">
      <alignment horizontal="center"/>
    </xf>
    <xf numFmtId="187" fontId="1" fillId="4" borderId="12" xfId="0" applyNumberFormat="1" applyFont="1" applyFill="1" applyBorder="1" applyAlignment="1">
      <alignment horizontal="center" wrapText="1"/>
    </xf>
    <xf numFmtId="188" fontId="1" fillId="5" borderId="12" xfId="0" applyNumberFormat="1" applyFont="1" applyFill="1" applyBorder="1" applyAlignment="1">
      <alignment horizontal="center" wrapText="1"/>
    </xf>
    <xf numFmtId="188" fontId="1" fillId="7" borderId="12" xfId="0" applyNumberFormat="1" applyFont="1" applyFill="1" applyBorder="1" applyAlignment="1">
      <alignment horizontal="center" wrapText="1"/>
    </xf>
    <xf numFmtId="188" fontId="1" fillId="6" borderId="12" xfId="0" applyNumberFormat="1" applyFont="1" applyFill="1" applyBorder="1" applyAlignment="1">
      <alignment horizontal="center"/>
    </xf>
    <xf numFmtId="188" fontId="1" fillId="5" borderId="12" xfId="0" applyNumberFormat="1" applyFont="1" applyFill="1" applyBorder="1" applyAlignment="1">
      <alignment horizontal="center"/>
    </xf>
    <xf numFmtId="188" fontId="1" fillId="7" borderId="12" xfId="0" applyNumberFormat="1" applyFont="1" applyFill="1" applyBorder="1" applyAlignment="1">
      <alignment horizontal="center"/>
    </xf>
    <xf numFmtId="0" fontId="2" fillId="8" borderId="12" xfId="0" applyFont="1" applyFill="1" applyBorder="1" applyAlignment="1"/>
    <xf numFmtId="189" fontId="2" fillId="8" borderId="12" xfId="0" applyNumberFormat="1" applyFont="1" applyFill="1" applyBorder="1" applyAlignment="1"/>
    <xf numFmtId="188" fontId="2" fillId="8" borderId="12" xfId="0" applyNumberFormat="1" applyFont="1" applyFill="1" applyBorder="1" applyAlignment="1"/>
    <xf numFmtId="0" fontId="2" fillId="8" borderId="13" xfId="0" applyFont="1" applyFill="1" applyBorder="1" applyAlignment="1"/>
    <xf numFmtId="0" fontId="2" fillId="8" borderId="14" xfId="0" applyFont="1" applyFill="1" applyBorder="1" applyAlignment="1"/>
    <xf numFmtId="0" fontId="1" fillId="8" borderId="14" xfId="0" applyFont="1" applyFill="1" applyBorder="1" applyAlignment="1"/>
    <xf numFmtId="0" fontId="4" fillId="8" borderId="14" xfId="0" applyFont="1" applyFill="1" applyBorder="1" applyAlignment="1"/>
    <xf numFmtId="0" fontId="2" fillId="8" borderId="15" xfId="0" applyFont="1" applyFill="1" applyBorder="1" applyAlignment="1"/>
    <xf numFmtId="0" fontId="1" fillId="8" borderId="15" xfId="0" applyFont="1" applyFill="1" applyBorder="1" applyAlignment="1">
      <alignment horizontal="center"/>
    </xf>
    <xf numFmtId="189" fontId="2" fillId="8" borderId="15" xfId="0" applyNumberFormat="1" applyFont="1" applyFill="1" applyBorder="1" applyAlignment="1"/>
    <xf numFmtId="188" fontId="2" fillId="8" borderId="15" xfId="0" applyNumberFormat="1" applyFont="1" applyFill="1" applyBorder="1" applyAlignment="1"/>
    <xf numFmtId="188" fontId="1" fillId="8" borderId="15" xfId="0" applyNumberFormat="1" applyFont="1" applyFill="1" applyBorder="1" applyAlignment="1">
      <alignment horizontal="right"/>
    </xf>
    <xf numFmtId="0" fontId="5" fillId="8" borderId="14" xfId="0" applyFont="1" applyFill="1" applyBorder="1" applyAlignment="1"/>
    <xf numFmtId="0" fontId="5" fillId="8" borderId="15" xfId="0" applyFont="1" applyFill="1" applyBorder="1" applyAlignment="1">
      <alignment horizontal="center"/>
    </xf>
    <xf numFmtId="188" fontId="5" fillId="8" borderId="15" xfId="0" applyNumberFormat="1" applyFont="1" applyFill="1" applyBorder="1" applyAlignment="1">
      <alignment horizontal="right"/>
    </xf>
    <xf numFmtId="0" fontId="6" fillId="8" borderId="14" xfId="0" applyFont="1" applyFill="1" applyBorder="1" applyAlignment="1"/>
    <xf numFmtId="0" fontId="2" fillId="8" borderId="8" xfId="0" applyFont="1" applyFill="1" applyBorder="1" applyAlignment="1"/>
    <xf numFmtId="0" fontId="2" fillId="8" borderId="9" xfId="0" applyFont="1" applyFill="1" applyBorder="1" applyAlignment="1"/>
    <xf numFmtId="0" fontId="5" fillId="8" borderId="9" xfId="0" applyFont="1" applyFill="1" applyBorder="1" applyAlignment="1"/>
    <xf numFmtId="0" fontId="2" fillId="8" borderId="10" xfId="0" applyFont="1" applyFill="1" applyBorder="1" applyAlignment="1"/>
    <xf numFmtId="0" fontId="5" fillId="8" borderId="10" xfId="0" applyFont="1" applyFill="1" applyBorder="1" applyAlignment="1">
      <alignment horizontal="center"/>
    </xf>
    <xf numFmtId="189" fontId="2" fillId="8" borderId="10" xfId="0" applyNumberFormat="1" applyFont="1" applyFill="1" applyBorder="1" applyAlignment="1"/>
    <xf numFmtId="188" fontId="2" fillId="8" borderId="10" xfId="0" applyNumberFormat="1" applyFont="1" applyFill="1" applyBorder="1" applyAlignment="1"/>
    <xf numFmtId="188" fontId="5" fillId="8" borderId="10" xfId="0" applyNumberFormat="1" applyFont="1" applyFill="1" applyBorder="1" applyAlignment="1">
      <alignment horizontal="right"/>
    </xf>
    <xf numFmtId="0" fontId="2" fillId="9" borderId="10" xfId="0" applyFont="1" applyFill="1" applyBorder="1" applyAlignment="1"/>
    <xf numFmtId="189" fontId="2" fillId="9" borderId="10" xfId="0" applyNumberFormat="1" applyFont="1" applyFill="1" applyBorder="1" applyAlignment="1"/>
    <xf numFmtId="188" fontId="2" fillId="9" borderId="10" xfId="0" applyNumberFormat="1" applyFont="1" applyFill="1" applyBorder="1" applyAlignment="1"/>
    <xf numFmtId="0" fontId="2" fillId="10" borderId="13" xfId="0" applyFont="1" applyFill="1" applyBorder="1" applyAlignment="1"/>
    <xf numFmtId="0" fontId="2" fillId="10" borderId="14" xfId="0" applyFont="1" applyFill="1" applyBorder="1" applyAlignment="1"/>
    <xf numFmtId="0" fontId="1" fillId="10" borderId="14" xfId="0" applyFont="1" applyFill="1" applyBorder="1" applyAlignment="1"/>
    <xf numFmtId="0" fontId="7" fillId="10" borderId="14" xfId="0" applyFont="1" applyFill="1" applyBorder="1" applyAlignment="1"/>
    <xf numFmtId="0" fontId="2" fillId="10" borderId="15" xfId="0" applyFont="1" applyFill="1" applyBorder="1" applyAlignment="1"/>
    <xf numFmtId="0" fontId="1" fillId="10" borderId="15" xfId="0" applyFont="1" applyFill="1" applyBorder="1" applyAlignment="1">
      <alignment horizontal="center"/>
    </xf>
    <xf numFmtId="189" fontId="2" fillId="10" borderId="15" xfId="0" applyNumberFormat="1" applyFont="1" applyFill="1" applyBorder="1" applyAlignment="1"/>
    <xf numFmtId="188" fontId="2" fillId="10" borderId="15" xfId="0" applyNumberFormat="1" applyFont="1" applyFill="1" applyBorder="1" applyAlignment="1"/>
    <xf numFmtId="188" fontId="1" fillId="10" borderId="15" xfId="0" applyNumberFormat="1" applyFont="1" applyFill="1" applyBorder="1" applyAlignment="1">
      <alignment horizontal="right"/>
    </xf>
    <xf numFmtId="0" fontId="5" fillId="10" borderId="14" xfId="0" applyFont="1" applyFill="1" applyBorder="1" applyAlignment="1"/>
    <xf numFmtId="0" fontId="5" fillId="10" borderId="15" xfId="0" applyFont="1" applyFill="1" applyBorder="1" applyAlignment="1">
      <alignment horizontal="center"/>
    </xf>
    <xf numFmtId="188" fontId="5" fillId="10" borderId="15" xfId="0" applyNumberFormat="1" applyFont="1" applyFill="1" applyBorder="1" applyAlignment="1">
      <alignment horizontal="right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8" fillId="2" borderId="14" xfId="0" applyFont="1" applyFill="1" applyBorder="1" applyAlignment="1"/>
    <xf numFmtId="0" fontId="2" fillId="2" borderId="15" xfId="0" applyFont="1" applyFill="1" applyBorder="1" applyAlignment="1"/>
    <xf numFmtId="0" fontId="5" fillId="2" borderId="15" xfId="0" applyFont="1" applyFill="1" applyBorder="1" applyAlignment="1">
      <alignment horizontal="center"/>
    </xf>
    <xf numFmtId="189" fontId="2" fillId="2" borderId="15" xfId="0" applyNumberFormat="1" applyFont="1" applyFill="1" applyBorder="1" applyAlignment="1"/>
    <xf numFmtId="188" fontId="2" fillId="2" borderId="15" xfId="0" applyNumberFormat="1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8" fontId="5" fillId="2" borderId="15" xfId="0" applyNumberFormat="1" applyFont="1" applyFill="1" applyBorder="1" applyAlignment="1">
      <alignment horizontal="right"/>
    </xf>
    <xf numFmtId="0" fontId="2" fillId="2" borderId="16" xfId="0" applyFont="1" applyFill="1" applyBorder="1" applyAlignment="1"/>
    <xf numFmtId="0" fontId="2" fillId="2" borderId="17" xfId="0" applyFont="1" applyFill="1" applyBorder="1" applyAlignment="1"/>
    <xf numFmtId="0" fontId="9" fillId="2" borderId="17" xfId="0" applyFont="1" applyFill="1" applyBorder="1" applyAlignment="1"/>
    <xf numFmtId="0" fontId="2" fillId="2" borderId="18" xfId="0" applyFont="1" applyFill="1" applyBorder="1" applyAlignment="1"/>
    <xf numFmtId="0" fontId="5" fillId="2" borderId="18" xfId="0" applyFont="1" applyFill="1" applyBorder="1" applyAlignment="1">
      <alignment horizontal="center"/>
    </xf>
    <xf numFmtId="189" fontId="2" fillId="2" borderId="18" xfId="0" applyNumberFormat="1" applyFont="1" applyFill="1" applyBorder="1" applyAlignment="1"/>
    <xf numFmtId="188" fontId="2" fillId="2" borderId="18" xfId="0" applyNumberFormat="1" applyFont="1" applyFill="1" applyBorder="1" applyAlignment="1"/>
    <xf numFmtId="188" fontId="5" fillId="2" borderId="18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5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0" xfId="0" applyFont="1" applyFill="1" applyBorder="1" applyAlignment="1">
      <alignment horizontal="center"/>
    </xf>
    <xf numFmtId="189" fontId="2" fillId="2" borderId="10" xfId="0" applyNumberFormat="1" applyFont="1" applyFill="1" applyBorder="1" applyAlignment="1"/>
    <xf numFmtId="188" fontId="2" fillId="2" borderId="10" xfId="0" applyNumberFormat="1" applyFont="1" applyFill="1" applyBorder="1" applyAlignment="1"/>
    <xf numFmtId="188" fontId="5" fillId="2" borderId="10" xfId="0" applyNumberFormat="1" applyFont="1" applyFill="1" applyBorder="1" applyAlignment="1">
      <alignment horizontal="right"/>
    </xf>
    <xf numFmtId="0" fontId="1" fillId="11" borderId="19" xfId="0" applyFont="1" applyFill="1" applyBorder="1" applyAlignment="1"/>
    <xf numFmtId="0" fontId="2" fillId="11" borderId="0" xfId="0" applyFont="1" applyFill="1" applyAlignment="1"/>
    <xf numFmtId="0" fontId="2" fillId="11" borderId="20" xfId="0" applyFont="1" applyFill="1" applyBorder="1" applyAlignment="1"/>
    <xf numFmtId="189" fontId="2" fillId="11" borderId="20" xfId="0" applyNumberFormat="1" applyFont="1" applyFill="1" applyBorder="1" applyAlignment="1"/>
    <xf numFmtId="188" fontId="2" fillId="11" borderId="20" xfId="0" applyNumberFormat="1" applyFont="1" applyFill="1" applyBorder="1" applyAlignment="1"/>
    <xf numFmtId="188" fontId="1" fillId="11" borderId="20" xfId="0" applyNumberFormat="1" applyFont="1" applyFill="1" applyBorder="1" applyAlignment="1">
      <alignment horizontal="right"/>
    </xf>
    <xf numFmtId="0" fontId="1" fillId="12" borderId="5" xfId="0" applyFont="1" applyFill="1" applyBorder="1" applyAlignment="1"/>
    <xf numFmtId="0" fontId="2" fillId="12" borderId="6" xfId="0" applyFont="1" applyFill="1" applyBorder="1" applyAlignment="1"/>
    <xf numFmtId="189" fontId="2" fillId="12" borderId="6" xfId="0" applyNumberFormat="1" applyFont="1" applyFill="1" applyBorder="1" applyAlignment="1"/>
    <xf numFmtId="188" fontId="2" fillId="12" borderId="6" xfId="0" applyNumberFormat="1" applyFont="1" applyFill="1" applyBorder="1" applyAlignment="1"/>
    <xf numFmtId="188" fontId="2" fillId="12" borderId="7" xfId="0" applyNumberFormat="1" applyFont="1" applyFill="1" applyBorder="1" applyAlignment="1"/>
    <xf numFmtId="0" fontId="2" fillId="13" borderId="14" xfId="0" applyFont="1" applyFill="1" applyBorder="1" applyAlignment="1"/>
    <xf numFmtId="0" fontId="1" fillId="13" borderId="14" xfId="0" applyFont="1" applyFill="1" applyBorder="1" applyAlignment="1"/>
    <xf numFmtId="0" fontId="2" fillId="13" borderId="21" xfId="0" applyFont="1" applyFill="1" applyBorder="1" applyAlignment="1"/>
    <xf numFmtId="189" fontId="2" fillId="13" borderId="21" xfId="0" applyNumberFormat="1" applyFont="1" applyFill="1" applyBorder="1" applyAlignment="1"/>
    <xf numFmtId="188" fontId="2" fillId="13" borderId="21" xfId="0" applyNumberFormat="1" applyFont="1" applyFill="1" applyBorder="1" applyAlignment="1"/>
    <xf numFmtId="0" fontId="2" fillId="14" borderId="13" xfId="0" applyFont="1" applyFill="1" applyBorder="1" applyAlignment="1"/>
    <xf numFmtId="0" fontId="2" fillId="14" borderId="14" xfId="0" applyFont="1" applyFill="1" applyBorder="1" applyAlignment="1"/>
    <xf numFmtId="0" fontId="1" fillId="14" borderId="14" xfId="0" applyFont="1" applyFill="1" applyBorder="1" applyAlignment="1"/>
    <xf numFmtId="0" fontId="10" fillId="14" borderId="14" xfId="0" applyFont="1" applyFill="1" applyBorder="1" applyAlignment="1"/>
    <xf numFmtId="0" fontId="2" fillId="14" borderId="15" xfId="0" applyFont="1" applyFill="1" applyBorder="1" applyAlignment="1"/>
    <xf numFmtId="0" fontId="1" fillId="14" borderId="15" xfId="0" applyFont="1" applyFill="1" applyBorder="1" applyAlignment="1">
      <alignment horizontal="center"/>
    </xf>
    <xf numFmtId="189" fontId="2" fillId="14" borderId="15" xfId="0" applyNumberFormat="1" applyFont="1" applyFill="1" applyBorder="1" applyAlignment="1"/>
    <xf numFmtId="188" fontId="2" fillId="14" borderId="15" xfId="0" applyNumberFormat="1" applyFont="1" applyFill="1" applyBorder="1" applyAlignment="1"/>
    <xf numFmtId="188" fontId="1" fillId="14" borderId="15" xfId="0" applyNumberFormat="1" applyFont="1" applyFill="1" applyBorder="1" applyAlignment="1">
      <alignment horizontal="right"/>
    </xf>
    <xf numFmtId="0" fontId="5" fillId="14" borderId="14" xfId="0" applyFont="1" applyFill="1" applyBorder="1" applyAlignment="1"/>
    <xf numFmtId="0" fontId="5" fillId="14" borderId="15" xfId="0" applyFont="1" applyFill="1" applyBorder="1" applyAlignment="1">
      <alignment horizontal="center"/>
    </xf>
    <xf numFmtId="188" fontId="5" fillId="14" borderId="15" xfId="0" applyNumberFormat="1" applyFont="1" applyFill="1" applyBorder="1" applyAlignment="1">
      <alignment horizontal="right"/>
    </xf>
    <xf numFmtId="0" fontId="11" fillId="2" borderId="14" xfId="0" applyFont="1" applyFill="1" applyBorder="1" applyAlignment="1"/>
    <xf numFmtId="0" fontId="2" fillId="15" borderId="6" xfId="0" applyFont="1" applyFill="1" applyBorder="1" applyAlignment="1"/>
    <xf numFmtId="189" fontId="2" fillId="15" borderId="6" xfId="0" applyNumberFormat="1" applyFont="1" applyFill="1" applyBorder="1" applyAlignment="1"/>
    <xf numFmtId="188" fontId="2" fillId="15" borderId="6" xfId="0" applyNumberFormat="1" applyFont="1" applyFill="1" applyBorder="1" applyAlignment="1"/>
    <xf numFmtId="188" fontId="2" fillId="15" borderId="7" xfId="0" applyNumberFormat="1" applyFont="1" applyFill="1" applyBorder="1" applyAlignment="1"/>
    <xf numFmtId="0" fontId="2" fillId="16" borderId="13" xfId="0" applyFont="1" applyFill="1" applyBorder="1" applyAlignment="1"/>
    <xf numFmtId="0" fontId="2" fillId="16" borderId="15" xfId="0" applyFont="1" applyFill="1" applyBorder="1" applyAlignment="1"/>
    <xf numFmtId="189" fontId="2" fillId="16" borderId="15" xfId="0" applyNumberFormat="1" applyFont="1" applyFill="1" applyBorder="1" applyAlignment="1"/>
    <xf numFmtId="188" fontId="2" fillId="16" borderId="15" xfId="0" applyNumberFormat="1" applyFont="1" applyFill="1" applyBorder="1" applyAlignment="1"/>
    <xf numFmtId="0" fontId="2" fillId="17" borderId="13" xfId="0" applyFont="1" applyFill="1" applyBorder="1" applyAlignment="1"/>
    <xf numFmtId="0" fontId="1" fillId="17" borderId="14" xfId="0" applyFont="1" applyFill="1" applyBorder="1" applyAlignment="1"/>
    <xf numFmtId="0" fontId="2" fillId="17" borderId="14" xfId="0" applyFont="1" applyFill="1" applyBorder="1" applyAlignment="1"/>
    <xf numFmtId="0" fontId="2" fillId="17" borderId="15" xfId="0" applyFont="1" applyFill="1" applyBorder="1" applyAlignment="1"/>
    <xf numFmtId="189" fontId="2" fillId="17" borderId="15" xfId="0" applyNumberFormat="1" applyFont="1" applyFill="1" applyBorder="1" applyAlignment="1"/>
    <xf numFmtId="188" fontId="2" fillId="17" borderId="15" xfId="0" applyNumberFormat="1" applyFont="1" applyFill="1" applyBorder="1" applyAlignment="1"/>
    <xf numFmtId="0" fontId="2" fillId="18" borderId="13" xfId="0" applyFont="1" applyFill="1" applyBorder="1" applyAlignment="1"/>
    <xf numFmtId="0" fontId="2" fillId="18" borderId="14" xfId="0" applyFont="1" applyFill="1" applyBorder="1" applyAlignment="1"/>
    <xf numFmtId="0" fontId="1" fillId="18" borderId="14" xfId="0" applyFont="1" applyFill="1" applyBorder="1" applyAlignment="1"/>
    <xf numFmtId="0" fontId="12" fillId="18" borderId="14" xfId="0" applyFont="1" applyFill="1" applyBorder="1" applyAlignment="1"/>
    <xf numFmtId="0" fontId="2" fillId="18" borderId="15" xfId="0" applyFont="1" applyFill="1" applyBorder="1" applyAlignment="1"/>
    <xf numFmtId="0" fontId="1" fillId="18" borderId="15" xfId="0" applyFont="1" applyFill="1" applyBorder="1" applyAlignment="1">
      <alignment horizontal="center"/>
    </xf>
    <xf numFmtId="189" fontId="2" fillId="18" borderId="15" xfId="0" applyNumberFormat="1" applyFont="1" applyFill="1" applyBorder="1" applyAlignment="1"/>
    <xf numFmtId="188" fontId="2" fillId="18" borderId="15" xfId="0" applyNumberFormat="1" applyFont="1" applyFill="1" applyBorder="1" applyAlignment="1"/>
    <xf numFmtId="188" fontId="1" fillId="18" borderId="15" xfId="0" applyNumberFormat="1" applyFont="1" applyFill="1" applyBorder="1" applyAlignment="1">
      <alignment horizontal="right"/>
    </xf>
    <xf numFmtId="0" fontId="5" fillId="18" borderId="14" xfId="0" applyFont="1" applyFill="1" applyBorder="1" applyAlignment="1"/>
    <xf numFmtId="0" fontId="5" fillId="18" borderId="15" xfId="0" applyFont="1" applyFill="1" applyBorder="1" applyAlignment="1">
      <alignment horizontal="center"/>
    </xf>
    <xf numFmtId="188" fontId="5" fillId="18" borderId="15" xfId="0" applyNumberFormat="1" applyFont="1" applyFill="1" applyBorder="1" applyAlignment="1">
      <alignment horizontal="right"/>
    </xf>
    <xf numFmtId="0" fontId="2" fillId="2" borderId="19" xfId="0" applyFont="1" applyFill="1" applyBorder="1" applyAlignment="1"/>
    <xf numFmtId="0" fontId="5" fillId="2" borderId="0" xfId="0" applyFont="1" applyFill="1" applyAlignment="1"/>
    <xf numFmtId="0" fontId="2" fillId="2" borderId="20" xfId="0" applyFont="1" applyFill="1" applyBorder="1" applyAlignment="1"/>
    <xf numFmtId="0" fontId="5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5" fillId="2" borderId="20" xfId="0" applyNumberFormat="1" applyFont="1" applyFill="1" applyBorder="1" applyAlignment="1">
      <alignment horizontal="right"/>
    </xf>
    <xf numFmtId="187" fontId="1" fillId="19" borderId="5" xfId="0" applyNumberFormat="1" applyFont="1" applyFill="1" applyBorder="1" applyAlignment="1"/>
    <xf numFmtId="187" fontId="2" fillId="19" borderId="6" xfId="0" applyNumberFormat="1" applyFont="1" applyFill="1" applyBorder="1" applyAlignment="1"/>
    <xf numFmtId="0" fontId="2" fillId="19" borderId="6" xfId="0" applyFont="1" applyFill="1" applyBorder="1" applyAlignment="1"/>
    <xf numFmtId="189" fontId="2" fillId="19" borderId="6" xfId="0" applyNumberFormat="1" applyFont="1" applyFill="1" applyBorder="1" applyAlignment="1"/>
    <xf numFmtId="188" fontId="2" fillId="19" borderId="6" xfId="0" applyNumberFormat="1" applyFont="1" applyFill="1" applyBorder="1" applyAlignment="1"/>
    <xf numFmtId="188" fontId="2" fillId="19" borderId="7" xfId="0" applyNumberFormat="1" applyFont="1" applyFill="1" applyBorder="1" applyAlignment="1"/>
    <xf numFmtId="187" fontId="1" fillId="20" borderId="13" xfId="0" applyNumberFormat="1" applyFont="1" applyFill="1" applyBorder="1" applyAlignment="1"/>
    <xf numFmtId="0" fontId="2" fillId="20" borderId="14" xfId="0" applyFont="1" applyFill="1" applyBorder="1" applyAlignment="1"/>
    <xf numFmtId="187" fontId="2" fillId="20" borderId="14" xfId="0" applyNumberFormat="1" applyFont="1" applyFill="1" applyBorder="1" applyAlignment="1"/>
    <xf numFmtId="0" fontId="2" fillId="20" borderId="15" xfId="0" applyFont="1" applyFill="1" applyBorder="1" applyAlignment="1"/>
    <xf numFmtId="189" fontId="2" fillId="20" borderId="15" xfId="0" applyNumberFormat="1" applyFont="1" applyFill="1" applyBorder="1" applyAlignment="1"/>
    <xf numFmtId="188" fontId="2" fillId="20" borderId="15" xfId="0" applyNumberFormat="1" applyFont="1" applyFill="1" applyBorder="1" applyAlignment="1"/>
    <xf numFmtId="190" fontId="2" fillId="10" borderId="13" xfId="0" applyNumberFormat="1" applyFont="1" applyFill="1" applyBorder="1" applyAlignment="1"/>
    <xf numFmtId="0" fontId="1" fillId="10" borderId="14" xfId="0" applyFont="1" applyFill="1" applyBorder="1" applyAlignment="1"/>
    <xf numFmtId="187" fontId="2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9" fontId="1" fillId="10" borderId="15" xfId="0" applyNumberFormat="1" applyFont="1" applyFill="1" applyBorder="1" applyAlignment="1">
      <alignment horizontal="right"/>
    </xf>
    <xf numFmtId="190" fontId="2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3" fillId="2" borderId="14" xfId="0" applyFont="1" applyFill="1" applyBorder="1" applyAlignment="1"/>
    <xf numFmtId="187" fontId="1" fillId="2" borderId="15" xfId="0" applyNumberFormat="1" applyFont="1" applyFill="1" applyBorder="1" applyAlignment="1">
      <alignment horizontal="center"/>
    </xf>
    <xf numFmtId="188" fontId="1" fillId="2" borderId="15" xfId="0" applyNumberFormat="1" applyFont="1" applyFill="1" applyBorder="1" applyAlignment="1">
      <alignment horizontal="right"/>
    </xf>
    <xf numFmtId="187" fontId="5" fillId="2" borderId="15" xfId="0" applyNumberFormat="1" applyFont="1" applyFill="1" applyBorder="1" applyAlignment="1">
      <alignment horizontal="center"/>
    </xf>
    <xf numFmtId="187" fontId="5" fillId="0" borderId="15" xfId="0" applyNumberFormat="1" applyFont="1" applyBorder="1" applyAlignment="1">
      <alignment horizontal="center" wrapText="1"/>
    </xf>
    <xf numFmtId="189" fontId="2" fillId="0" borderId="15" xfId="0" applyNumberFormat="1" applyFont="1" applyBorder="1" applyAlignment="1"/>
    <xf numFmtId="188" fontId="2" fillId="0" borderId="15" xfId="0" applyNumberFormat="1" applyFont="1" applyBorder="1" applyAlignment="1"/>
    <xf numFmtId="187" fontId="5" fillId="0" borderId="15" xfId="0" applyNumberFormat="1" applyFont="1" applyBorder="1" applyAlignment="1">
      <alignment horizontal="center"/>
    </xf>
    <xf numFmtId="187" fontId="2" fillId="0" borderId="13" xfId="0" applyNumberFormat="1" applyFont="1" applyBorder="1" applyAlignment="1"/>
    <xf numFmtId="187" fontId="2" fillId="0" borderId="14" xfId="0" applyNumberFormat="1" applyFont="1" applyBorder="1" applyAlignment="1"/>
    <xf numFmtId="0" fontId="14" fillId="21" borderId="14" xfId="0" quotePrefix="1" applyFont="1" applyFill="1" applyBorder="1" applyAlignment="1"/>
    <xf numFmtId="0" fontId="2" fillId="21" borderId="14" xfId="0" applyFont="1" applyFill="1" applyBorder="1" applyAlignment="1"/>
    <xf numFmtId="0" fontId="2" fillId="21" borderId="15" xfId="0" applyFont="1" applyFill="1" applyBorder="1" applyAlignment="1"/>
    <xf numFmtId="0" fontId="2" fillId="0" borderId="15" xfId="0" applyFont="1" applyBorder="1" applyAlignment="1"/>
    <xf numFmtId="0" fontId="5" fillId="0" borderId="14" xfId="0" quotePrefix="1" applyFont="1" applyBorder="1" applyAlignment="1"/>
    <xf numFmtId="0" fontId="2" fillId="0" borderId="14" xfId="0" applyFont="1" applyBorder="1" applyAlignment="1"/>
    <xf numFmtId="0" fontId="1" fillId="0" borderId="15" xfId="0" applyFont="1" applyBorder="1" applyAlignment="1">
      <alignment horizontal="center" wrapText="1"/>
    </xf>
    <xf numFmtId="189" fontId="1" fillId="2" borderId="15" xfId="0" applyNumberFormat="1" applyFont="1" applyFill="1" applyBorder="1" applyAlignment="1">
      <alignment horizontal="right"/>
    </xf>
    <xf numFmtId="188" fontId="1" fillId="0" borderId="15" xfId="0" applyNumberFormat="1" applyFont="1" applyBorder="1" applyAlignment="1">
      <alignment horizontal="right"/>
    </xf>
    <xf numFmtId="189" fontId="1" fillId="2" borderId="20" xfId="0" applyNumberFormat="1" applyFont="1" applyFill="1" applyBorder="1" applyAlignment="1">
      <alignment horizontal="right"/>
    </xf>
    <xf numFmtId="0" fontId="5" fillId="0" borderId="14" xfId="0" applyFont="1" applyBorder="1" applyAlignment="1"/>
    <xf numFmtId="0" fontId="5" fillId="0" borderId="15" xfId="0" applyFont="1" applyBorder="1" applyAlignment="1">
      <alignment horizontal="center"/>
    </xf>
    <xf numFmtId="189" fontId="15" fillId="0" borderId="18" xfId="0" applyNumberFormat="1" applyFont="1" applyBorder="1" applyAlignment="1">
      <alignment horizontal="left"/>
    </xf>
    <xf numFmtId="189" fontId="5" fillId="2" borderId="15" xfId="0" applyNumberFormat="1" applyFont="1" applyFill="1" applyBorder="1" applyAlignment="1">
      <alignment horizontal="right"/>
    </xf>
    <xf numFmtId="188" fontId="5" fillId="0" borderId="15" xfId="0" applyNumberFormat="1" applyFont="1" applyBorder="1" applyAlignment="1">
      <alignment horizontal="right"/>
    </xf>
    <xf numFmtId="189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wrapText="1"/>
    </xf>
    <xf numFmtId="187" fontId="16" fillId="8" borderId="13" xfId="0" applyNumberFormat="1" applyFont="1" applyFill="1" applyBorder="1" applyAlignment="1"/>
    <xf numFmtId="187" fontId="16" fillId="8" borderId="14" xfId="0" applyNumberFormat="1" applyFont="1" applyFill="1" applyBorder="1" applyAlignment="1"/>
    <xf numFmtId="0" fontId="17" fillId="8" borderId="14" xfId="0" applyFont="1" applyFill="1" applyBorder="1" applyAlignment="1"/>
    <xf numFmtId="0" fontId="16" fillId="8" borderId="14" xfId="0" applyFont="1" applyFill="1" applyBorder="1" applyAlignment="1"/>
    <xf numFmtId="0" fontId="16" fillId="8" borderId="15" xfId="0" applyFont="1" applyFill="1" applyBorder="1" applyAlignment="1"/>
    <xf numFmtId="0" fontId="17" fillId="8" borderId="15" xfId="0" applyFont="1" applyFill="1" applyBorder="1" applyAlignment="1">
      <alignment horizontal="center"/>
    </xf>
    <xf numFmtId="189" fontId="17" fillId="8" borderId="15" xfId="0" applyNumberFormat="1" applyFont="1" applyFill="1" applyBorder="1" applyAlignment="1">
      <alignment horizontal="right"/>
    </xf>
    <xf numFmtId="188" fontId="17" fillId="8" borderId="15" xfId="0" applyNumberFormat="1" applyFont="1" applyFill="1" applyBorder="1" applyAlignment="1">
      <alignment horizontal="right"/>
    </xf>
    <xf numFmtId="0" fontId="1" fillId="0" borderId="14" xfId="0" applyFont="1" applyBorder="1" applyAlignment="1"/>
    <xf numFmtId="0" fontId="5" fillId="0" borderId="14" xfId="0" applyFont="1" applyBorder="1" applyAlignment="1"/>
    <xf numFmtId="189" fontId="5" fillId="2" borderId="15" xfId="0" applyNumberFormat="1" applyFont="1" applyFill="1" applyBorder="1" applyAlignment="1">
      <alignment horizontal="right"/>
    </xf>
    <xf numFmtId="0" fontId="18" fillId="8" borderId="14" xfId="0" applyFont="1" applyFill="1" applyBorder="1" applyAlignment="1"/>
    <xf numFmtId="189" fontId="16" fillId="8" borderId="15" xfId="0" applyNumberFormat="1" applyFont="1" applyFill="1" applyBorder="1" applyAlignment="1"/>
    <xf numFmtId="189" fontId="16" fillId="2" borderId="15" xfId="0" applyNumberFormat="1" applyFont="1" applyFill="1" applyBorder="1" applyAlignment="1"/>
    <xf numFmtId="188" fontId="16" fillId="8" borderId="15" xfId="0" applyNumberFormat="1" applyFont="1" applyFill="1" applyBorder="1" applyAlignment="1"/>
    <xf numFmtId="189" fontId="17" fillId="2" borderId="15" xfId="0" applyNumberFormat="1" applyFont="1" applyFill="1" applyBorder="1" applyAlignment="1">
      <alignment horizontal="right"/>
    </xf>
    <xf numFmtId="0" fontId="19" fillId="8" borderId="14" xfId="0" applyFont="1" applyFill="1" applyBorder="1" applyAlignment="1"/>
    <xf numFmtId="0" fontId="20" fillId="8" borderId="14" xfId="0" applyFont="1" applyFill="1" applyBorder="1" applyAlignment="1"/>
    <xf numFmtId="0" fontId="18" fillId="8" borderId="15" xfId="0" applyFont="1" applyFill="1" applyBorder="1" applyAlignment="1">
      <alignment horizontal="center"/>
    </xf>
    <xf numFmtId="189" fontId="18" fillId="8" borderId="15" xfId="0" applyNumberFormat="1" applyFont="1" applyFill="1" applyBorder="1" applyAlignment="1">
      <alignment horizontal="right"/>
    </xf>
    <xf numFmtId="188" fontId="18" fillId="8" borderId="15" xfId="0" applyNumberFormat="1" applyFont="1" applyFill="1" applyBorder="1" applyAlignment="1">
      <alignment horizontal="right"/>
    </xf>
    <xf numFmtId="187" fontId="1" fillId="8" borderId="13" xfId="0" applyNumberFormat="1" applyFont="1" applyFill="1" applyBorder="1" applyAlignment="1"/>
    <xf numFmtId="190" fontId="2" fillId="8" borderId="14" xfId="0" applyNumberFormat="1" applyFont="1" applyFill="1" applyBorder="1" applyAlignment="1"/>
    <xf numFmtId="189" fontId="2" fillId="8" borderId="14" xfId="0" applyNumberFormat="1" applyFont="1" applyFill="1" applyBorder="1" applyAlignment="1"/>
    <xf numFmtId="188" fontId="2" fillId="8" borderId="14" xfId="0" applyNumberFormat="1" applyFont="1" applyFill="1" applyBorder="1" applyAlignment="1"/>
    <xf numFmtId="190" fontId="2" fillId="8" borderId="13" xfId="0" applyNumberFormat="1" applyFont="1" applyFill="1" applyBorder="1" applyAlignment="1"/>
    <xf numFmtId="0" fontId="1" fillId="8" borderId="14" xfId="0" applyFont="1" applyFill="1" applyBorder="1" applyAlignment="1"/>
    <xf numFmtId="187" fontId="2" fillId="8" borderId="14" xfId="0" applyNumberFormat="1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1" fillId="8" borderId="15" xfId="0" applyNumberFormat="1" applyFont="1" applyFill="1" applyBorder="1" applyAlignment="1">
      <alignment horizontal="center"/>
    </xf>
    <xf numFmtId="190" fontId="16" fillId="8" borderId="13" xfId="0" applyNumberFormat="1" applyFont="1" applyFill="1" applyBorder="1" applyAlignment="1"/>
    <xf numFmtId="187" fontId="17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/>
    </xf>
    <xf numFmtId="187" fontId="5" fillId="8" borderId="15" xfId="0" applyNumberFormat="1" applyFont="1" applyFill="1" applyBorder="1" applyAlignment="1">
      <alignment horizontal="center" wrapText="1"/>
    </xf>
    <xf numFmtId="187" fontId="17" fillId="8" borderId="15" xfId="0" applyNumberFormat="1" applyFont="1" applyFill="1" applyBorder="1" applyAlignment="1">
      <alignment horizontal="center" wrapText="1"/>
    </xf>
    <xf numFmtId="190" fontId="2" fillId="20" borderId="14" xfId="0" applyNumberFormat="1" applyFont="1" applyFill="1" applyBorder="1" applyAlignment="1"/>
    <xf numFmtId="189" fontId="2" fillId="20" borderId="14" xfId="0" applyNumberFormat="1" applyFont="1" applyFill="1" applyBorder="1" applyAlignment="1"/>
    <xf numFmtId="188" fontId="2" fillId="20" borderId="14" xfId="0" applyNumberFormat="1" applyFont="1" applyFill="1" applyBorder="1" applyAlignment="1"/>
    <xf numFmtId="190" fontId="2" fillId="10" borderId="14" xfId="0" applyNumberFormat="1" applyFont="1" applyFill="1" applyBorder="1" applyAlignment="1"/>
    <xf numFmtId="190" fontId="1" fillId="10" borderId="14" xfId="0" applyNumberFormat="1" applyFont="1" applyFill="1" applyBorder="1" applyAlignment="1"/>
    <xf numFmtId="0" fontId="1" fillId="10" borderId="15" xfId="0" applyFont="1" applyFill="1" applyBorder="1" applyAlignment="1">
      <alignment horizontal="center" wrapText="1"/>
    </xf>
    <xf numFmtId="187" fontId="2" fillId="0" borderId="15" xfId="0" applyNumberFormat="1" applyFont="1" applyBorder="1" applyAlignment="1"/>
    <xf numFmtId="190" fontId="2" fillId="2" borderId="16" xfId="0" applyNumberFormat="1" applyFont="1" applyFill="1" applyBorder="1" applyAlignment="1"/>
    <xf numFmtId="0" fontId="2" fillId="0" borderId="17" xfId="0" applyFont="1" applyBorder="1" applyAlignment="1"/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5" fillId="2" borderId="17" xfId="0" applyFont="1" applyFill="1" applyBorder="1" applyAlignment="1"/>
    <xf numFmtId="187" fontId="5" fillId="0" borderId="18" xfId="0" applyNumberFormat="1" applyFont="1" applyBorder="1" applyAlignment="1">
      <alignment horizontal="center"/>
    </xf>
    <xf numFmtId="189" fontId="5" fillId="2" borderId="18" xfId="0" applyNumberFormat="1" applyFont="1" applyFill="1" applyBorder="1" applyAlignment="1">
      <alignment horizontal="right"/>
    </xf>
    <xf numFmtId="0" fontId="21" fillId="2" borderId="17" xfId="0" applyFont="1" applyFill="1" applyBorder="1" applyAlignment="1"/>
    <xf numFmtId="190" fontId="2" fillId="2" borderId="22" xfId="0" applyNumberFormat="1" applyFont="1" applyFill="1" applyBorder="1" applyAlignment="1"/>
    <xf numFmtId="0" fontId="2" fillId="2" borderId="23" xfId="0" applyFont="1" applyFill="1" applyBorder="1" applyAlignment="1"/>
    <xf numFmtId="0" fontId="5" fillId="2" borderId="23" xfId="0" applyFont="1" applyFill="1" applyBorder="1" applyAlignment="1"/>
    <xf numFmtId="0" fontId="2" fillId="2" borderId="24" xfId="0" applyFont="1" applyFill="1" applyBorder="1" applyAlignment="1"/>
    <xf numFmtId="187" fontId="5" fillId="0" borderId="24" xfId="0" applyNumberFormat="1" applyFont="1" applyBorder="1" applyAlignment="1">
      <alignment horizontal="center"/>
    </xf>
    <xf numFmtId="189" fontId="5" fillId="2" borderId="24" xfId="0" applyNumberFormat="1" applyFont="1" applyFill="1" applyBorder="1" applyAlignment="1">
      <alignment horizontal="right"/>
    </xf>
    <xf numFmtId="189" fontId="5" fillId="2" borderId="24" xfId="0" applyNumberFormat="1" applyFont="1" applyFill="1" applyBorder="1" applyAlignment="1">
      <alignment horizontal="right"/>
    </xf>
    <xf numFmtId="188" fontId="2" fillId="2" borderId="24" xfId="0" applyNumberFormat="1" applyFont="1" applyFill="1" applyBorder="1" applyAlignment="1"/>
    <xf numFmtId="187" fontId="1" fillId="20" borderId="16" xfId="0" applyNumberFormat="1" applyFont="1" applyFill="1" applyBorder="1" applyAlignment="1"/>
    <xf numFmtId="0" fontId="2" fillId="20" borderId="17" xfId="0" applyFont="1" applyFill="1" applyBorder="1" applyAlignment="1"/>
    <xf numFmtId="190" fontId="2" fillId="20" borderId="17" xfId="0" applyNumberFormat="1" applyFont="1" applyFill="1" applyBorder="1" applyAlignment="1"/>
    <xf numFmtId="189" fontId="2" fillId="20" borderId="17" xfId="0" applyNumberFormat="1" applyFont="1" applyFill="1" applyBorder="1" applyAlignment="1"/>
    <xf numFmtId="188" fontId="2" fillId="20" borderId="17" xfId="0" applyNumberFormat="1" applyFont="1" applyFill="1" applyBorder="1" applyAlignment="1"/>
    <xf numFmtId="188" fontId="2" fillId="20" borderId="18" xfId="0" applyNumberFormat="1" applyFont="1" applyFill="1" applyBorder="1" applyAlignment="1"/>
    <xf numFmtId="187" fontId="1" fillId="10" borderId="15" xfId="0" applyNumberFormat="1" applyFont="1" applyFill="1" applyBorder="1" applyAlignment="1">
      <alignment horizontal="center"/>
    </xf>
    <xf numFmtId="0" fontId="5" fillId="2" borderId="14" xfId="0" applyFont="1" applyFill="1" applyBorder="1" applyAlignment="1"/>
    <xf numFmtId="190" fontId="2" fillId="2" borderId="19" xfId="0" applyNumberFormat="1" applyFont="1" applyFill="1" applyBorder="1" applyAlignment="1"/>
    <xf numFmtId="0" fontId="5" fillId="2" borderId="0" xfId="0" applyFont="1" applyFill="1" applyAlignment="1"/>
    <xf numFmtId="187" fontId="5" fillId="0" borderId="20" xfId="0" applyNumberFormat="1" applyFont="1" applyBorder="1" applyAlignment="1">
      <alignment horizontal="center"/>
    </xf>
    <xf numFmtId="189" fontId="5" fillId="2" borderId="20" xfId="0" applyNumberFormat="1" applyFont="1" applyFill="1" applyBorder="1" applyAlignment="1">
      <alignment horizontal="right"/>
    </xf>
    <xf numFmtId="187" fontId="1" fillId="7" borderId="5" xfId="0" applyNumberFormat="1" applyFont="1" applyFill="1" applyBorder="1" applyAlignment="1"/>
    <xf numFmtId="187" fontId="2" fillId="7" borderId="6" xfId="0" applyNumberFormat="1" applyFont="1" applyFill="1" applyBorder="1" applyAlignment="1"/>
    <xf numFmtId="0" fontId="2" fillId="7" borderId="6" xfId="0" applyFont="1" applyFill="1" applyBorder="1" applyAlignment="1"/>
    <xf numFmtId="189" fontId="2" fillId="7" borderId="6" xfId="0" applyNumberFormat="1" applyFont="1" applyFill="1" applyBorder="1" applyAlignment="1"/>
    <xf numFmtId="188" fontId="2" fillId="7" borderId="6" xfId="0" applyNumberFormat="1" applyFont="1" applyFill="1" applyBorder="1" applyAlignment="1"/>
    <xf numFmtId="188" fontId="2" fillId="7" borderId="7" xfId="0" applyNumberFormat="1" applyFont="1" applyFill="1" applyBorder="1" applyAlignment="1"/>
    <xf numFmtId="187" fontId="1" fillId="22" borderId="13" xfId="0" applyNumberFormat="1" applyFont="1" applyFill="1" applyBorder="1" applyAlignment="1"/>
    <xf numFmtId="187" fontId="2" fillId="22" borderId="14" xfId="0" applyNumberFormat="1" applyFont="1" applyFill="1" applyBorder="1" applyAlignment="1"/>
    <xf numFmtId="0" fontId="2" fillId="22" borderId="14" xfId="0" applyFont="1" applyFill="1" applyBorder="1" applyAlignment="1"/>
    <xf numFmtId="0" fontId="2" fillId="22" borderId="15" xfId="0" applyFont="1" applyFill="1" applyBorder="1" applyAlignment="1"/>
    <xf numFmtId="189" fontId="2" fillId="22" borderId="15" xfId="0" applyNumberFormat="1" applyFont="1" applyFill="1" applyBorder="1" applyAlignment="1"/>
    <xf numFmtId="188" fontId="2" fillId="22" borderId="15" xfId="0" applyNumberFormat="1" applyFont="1" applyFill="1" applyBorder="1" applyAlignment="1"/>
    <xf numFmtId="187" fontId="2" fillId="21" borderId="13" xfId="0" applyNumberFormat="1" applyFont="1" applyFill="1" applyBorder="1" applyAlignment="1"/>
    <xf numFmtId="0" fontId="1" fillId="21" borderId="14" xfId="0" applyFont="1" applyFill="1" applyBorder="1" applyAlignment="1"/>
    <xf numFmtId="187" fontId="2" fillId="21" borderId="14" xfId="0" applyNumberFormat="1" applyFont="1" applyFill="1" applyBorder="1" applyAlignment="1"/>
    <xf numFmtId="0" fontId="1" fillId="21" borderId="15" xfId="0" applyFont="1" applyFill="1" applyBorder="1" applyAlignment="1">
      <alignment horizontal="center" wrapText="1"/>
    </xf>
    <xf numFmtId="189" fontId="1" fillId="21" borderId="15" xfId="0" applyNumberFormat="1" applyFont="1" applyFill="1" applyBorder="1" applyAlignment="1">
      <alignment horizontal="right"/>
    </xf>
    <xf numFmtId="188" fontId="1" fillId="21" borderId="15" xfId="0" applyNumberFormat="1" applyFont="1" applyFill="1" applyBorder="1" applyAlignment="1">
      <alignment horizontal="right"/>
    </xf>
    <xf numFmtId="188" fontId="2" fillId="21" borderId="15" xfId="0" applyNumberFormat="1" applyFont="1" applyFill="1" applyBorder="1" applyAlignment="1"/>
    <xf numFmtId="187" fontId="2" fillId="2" borderId="13" xfId="0" applyNumberFormat="1" applyFont="1" applyFill="1" applyBorder="1" applyAlignment="1"/>
    <xf numFmtId="187" fontId="5" fillId="2" borderId="14" xfId="0" applyNumberFormat="1" applyFont="1" applyFill="1" applyBorder="1" applyAlignment="1"/>
    <xf numFmtId="187" fontId="5" fillId="2" borderId="14" xfId="0" applyNumberFormat="1" applyFont="1" applyFill="1" applyBorder="1" applyAlignment="1"/>
    <xf numFmtId="0" fontId="5" fillId="2" borderId="15" xfId="0" applyFont="1" applyFill="1" applyBorder="1" applyAlignment="1">
      <alignment horizontal="center" wrapText="1"/>
    </xf>
    <xf numFmtId="187" fontId="2" fillId="2" borderId="14" xfId="0" applyNumberFormat="1" applyFont="1" applyFill="1" applyBorder="1" applyAlignment="1"/>
    <xf numFmtId="187" fontId="2" fillId="23" borderId="13" xfId="0" applyNumberFormat="1" applyFont="1" applyFill="1" applyBorder="1" applyAlignment="1"/>
    <xf numFmtId="187" fontId="2" fillId="23" borderId="14" xfId="0" applyNumberFormat="1" applyFont="1" applyFill="1" applyBorder="1" applyAlignment="1"/>
    <xf numFmtId="0" fontId="1" fillId="23" borderId="14" xfId="0" applyFont="1" applyFill="1" applyBorder="1" applyAlignment="1"/>
    <xf numFmtId="0" fontId="2" fillId="23" borderId="14" xfId="0" applyFont="1" applyFill="1" applyBorder="1" applyAlignment="1"/>
    <xf numFmtId="0" fontId="2" fillId="23" borderId="15" xfId="0" applyFont="1" applyFill="1" applyBorder="1" applyAlignment="1"/>
    <xf numFmtId="0" fontId="1" fillId="23" borderId="15" xfId="0" applyFont="1" applyFill="1" applyBorder="1" applyAlignment="1">
      <alignment horizontal="center" wrapText="1"/>
    </xf>
    <xf numFmtId="189" fontId="1" fillId="23" borderId="15" xfId="0" applyNumberFormat="1" applyFont="1" applyFill="1" applyBorder="1" applyAlignment="1">
      <alignment horizontal="right"/>
    </xf>
    <xf numFmtId="188" fontId="1" fillId="23" borderId="15" xfId="0" applyNumberFormat="1" applyFont="1" applyFill="1" applyBorder="1" applyAlignment="1">
      <alignment horizontal="right"/>
    </xf>
    <xf numFmtId="188" fontId="2" fillId="23" borderId="15" xfId="0" applyNumberFormat="1" applyFont="1" applyFill="1" applyBorder="1" applyAlignment="1"/>
    <xf numFmtId="0" fontId="22" fillId="2" borderId="14" xfId="0" quotePrefix="1" applyFont="1" applyFill="1" applyBorder="1" applyAlignment="1"/>
    <xf numFmtId="187" fontId="1" fillId="0" borderId="15" xfId="0" applyNumberFormat="1" applyFont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3" borderId="15" xfId="0" applyFont="1" applyFill="1" applyBorder="1" applyAlignment="1">
      <alignment horizontal="center"/>
    </xf>
    <xf numFmtId="0" fontId="23" fillId="2" borderId="17" xfId="0" applyFont="1" applyFill="1" applyBorder="1" applyAlignment="1"/>
    <xf numFmtId="0" fontId="23" fillId="2" borderId="14" xfId="0" applyFont="1" applyFill="1" applyBorder="1" applyAlignment="1"/>
    <xf numFmtId="0" fontId="5" fillId="0" borderId="15" xfId="0" applyFont="1" applyBorder="1" applyAlignment="1"/>
    <xf numFmtId="0" fontId="5" fillId="0" borderId="15" xfId="0" applyFont="1" applyBorder="1" applyAlignment="1">
      <alignment horizontal="center"/>
    </xf>
    <xf numFmtId="187" fontId="1" fillId="2" borderId="14" xfId="0" applyNumberFormat="1" applyFont="1" applyFill="1" applyBorder="1" applyAlignment="1"/>
    <xf numFmtId="187" fontId="2" fillId="24" borderId="13" xfId="0" applyNumberFormat="1" applyFont="1" applyFill="1" applyBorder="1" applyAlignment="1"/>
    <xf numFmtId="187" fontId="2" fillId="24" borderId="14" xfId="0" applyNumberFormat="1" applyFont="1" applyFill="1" applyBorder="1" applyAlignment="1"/>
    <xf numFmtId="0" fontId="5" fillId="24" borderId="14" xfId="0" applyFont="1" applyFill="1" applyBorder="1" applyAlignment="1"/>
    <xf numFmtId="0" fontId="2" fillId="24" borderId="14" xfId="0" applyFont="1" applyFill="1" applyBorder="1" applyAlignment="1"/>
    <xf numFmtId="0" fontId="2" fillId="24" borderId="15" xfId="0" applyFont="1" applyFill="1" applyBorder="1" applyAlignment="1"/>
    <xf numFmtId="187" fontId="5" fillId="24" borderId="15" xfId="0" applyNumberFormat="1" applyFont="1" applyFill="1" applyBorder="1" applyAlignment="1">
      <alignment horizontal="center" wrapText="1"/>
    </xf>
    <xf numFmtId="189" fontId="2" fillId="24" borderId="15" xfId="0" applyNumberFormat="1" applyFont="1" applyFill="1" applyBorder="1" applyAlignment="1"/>
    <xf numFmtId="188" fontId="2" fillId="24" borderId="15" xfId="0" applyNumberFormat="1" applyFont="1" applyFill="1" applyBorder="1" applyAlignment="1"/>
    <xf numFmtId="188" fontId="5" fillId="24" borderId="15" xfId="0" applyNumberFormat="1" applyFont="1" applyFill="1" applyBorder="1" applyAlignment="1">
      <alignment horizontal="right"/>
    </xf>
    <xf numFmtId="187" fontId="5" fillId="0" borderId="14" xfId="0" quotePrefix="1" applyNumberFormat="1" applyFont="1" applyBorder="1" applyAlignment="1"/>
    <xf numFmtId="187" fontId="16" fillId="24" borderId="13" xfId="0" applyNumberFormat="1" applyFont="1" applyFill="1" applyBorder="1" applyAlignment="1"/>
    <xf numFmtId="187" fontId="16" fillId="24" borderId="14" xfId="0" applyNumberFormat="1" applyFont="1" applyFill="1" applyBorder="1" applyAlignment="1"/>
    <xf numFmtId="0" fontId="18" fillId="24" borderId="14" xfId="0" applyFont="1" applyFill="1" applyBorder="1" applyAlignment="1"/>
    <xf numFmtId="0" fontId="16" fillId="24" borderId="14" xfId="0" applyFont="1" applyFill="1" applyBorder="1" applyAlignment="1"/>
    <xf numFmtId="0" fontId="16" fillId="24" borderId="15" xfId="0" applyFont="1" applyFill="1" applyBorder="1" applyAlignment="1"/>
    <xf numFmtId="0" fontId="18" fillId="24" borderId="15" xfId="0" applyFont="1" applyFill="1" applyBorder="1" applyAlignment="1">
      <alignment horizontal="center" wrapText="1"/>
    </xf>
    <xf numFmtId="189" fontId="18" fillId="24" borderId="15" xfId="0" applyNumberFormat="1" applyFont="1" applyFill="1" applyBorder="1" applyAlignment="1">
      <alignment horizontal="right"/>
    </xf>
    <xf numFmtId="188" fontId="18" fillId="24" borderId="15" xfId="0" applyNumberFormat="1" applyFont="1" applyFill="1" applyBorder="1" applyAlignment="1">
      <alignment horizontal="right"/>
    </xf>
    <xf numFmtId="190" fontId="16" fillId="24" borderId="13" xfId="0" applyNumberFormat="1" applyFont="1" applyFill="1" applyBorder="1" applyAlignment="1"/>
    <xf numFmtId="0" fontId="18" fillId="24" borderId="14" xfId="0" applyFont="1" applyFill="1" applyBorder="1" applyAlignment="1"/>
    <xf numFmtId="0" fontId="24" fillId="24" borderId="14" xfId="0" applyFont="1" applyFill="1" applyBorder="1" applyAlignment="1"/>
    <xf numFmtId="187" fontId="18" fillId="24" borderId="15" xfId="0" applyNumberFormat="1" applyFont="1" applyFill="1" applyBorder="1" applyAlignment="1">
      <alignment horizontal="center" wrapText="1"/>
    </xf>
    <xf numFmtId="189" fontId="16" fillId="24" borderId="15" xfId="0" applyNumberFormat="1" applyFont="1" applyFill="1" applyBorder="1" applyAlignment="1"/>
    <xf numFmtId="188" fontId="16" fillId="24" borderId="15" xfId="0" applyNumberFormat="1" applyFont="1" applyFill="1" applyBorder="1" applyAlignment="1"/>
    <xf numFmtId="188" fontId="1" fillId="24" borderId="15" xfId="0" applyNumberFormat="1" applyFont="1" applyFill="1" applyBorder="1" applyAlignment="1">
      <alignment horizontal="right"/>
    </xf>
    <xf numFmtId="0" fontId="17" fillId="24" borderId="14" xfId="0" applyFont="1" applyFill="1" applyBorder="1" applyAlignment="1"/>
    <xf numFmtId="187" fontId="17" fillId="24" borderId="15" xfId="0" applyNumberFormat="1" applyFont="1" applyFill="1" applyBorder="1" applyAlignment="1">
      <alignment horizontal="center" wrapText="1"/>
    </xf>
    <xf numFmtId="188" fontId="5" fillId="24" borderId="15" xfId="0" applyNumberFormat="1" applyFont="1" applyFill="1" applyBorder="1" applyAlignment="1">
      <alignment horizontal="right"/>
    </xf>
    <xf numFmtId="187" fontId="18" fillId="24" borderId="14" xfId="0" applyNumberFormat="1" applyFont="1" applyFill="1" applyBorder="1" applyAlignment="1"/>
    <xf numFmtId="0" fontId="25" fillId="24" borderId="14" xfId="0" quotePrefix="1" applyFont="1" applyFill="1" applyBorder="1" applyAlignment="1"/>
    <xf numFmtId="0" fontId="17" fillId="24" borderId="15" xfId="0" applyFont="1" applyFill="1" applyBorder="1" applyAlignment="1">
      <alignment horizontal="center"/>
    </xf>
    <xf numFmtId="189" fontId="17" fillId="24" borderId="15" xfId="0" applyNumberFormat="1" applyFont="1" applyFill="1" applyBorder="1" applyAlignment="1">
      <alignment horizontal="right"/>
    </xf>
    <xf numFmtId="189" fontId="17" fillId="24" borderId="15" xfId="0" applyNumberFormat="1" applyFont="1" applyFill="1" applyBorder="1" applyAlignment="1">
      <alignment horizontal="right"/>
    </xf>
    <xf numFmtId="188" fontId="17" fillId="24" borderId="15" xfId="0" applyNumberFormat="1" applyFont="1" applyFill="1" applyBorder="1" applyAlignment="1">
      <alignment horizontal="right"/>
    </xf>
    <xf numFmtId="187" fontId="17" fillId="24" borderId="14" xfId="0" quotePrefix="1" applyNumberFormat="1" applyFont="1" applyFill="1" applyBorder="1" applyAlignment="1"/>
    <xf numFmtId="0" fontId="17" fillId="24" borderId="14" xfId="0" quotePrefix="1" applyFont="1" applyFill="1" applyBorder="1" applyAlignment="1"/>
    <xf numFmtId="189" fontId="1" fillId="21" borderId="15" xfId="0" applyNumberFormat="1" applyFont="1" applyFill="1" applyBorder="1" applyAlignment="1">
      <alignment horizontal="right"/>
    </xf>
    <xf numFmtId="0" fontId="5" fillId="2" borderId="14" xfId="0" applyFont="1" applyFill="1" applyBorder="1" applyAlignment="1"/>
    <xf numFmtId="187" fontId="2" fillId="8" borderId="13" xfId="0" applyNumberFormat="1" applyFont="1" applyFill="1" applyBorder="1" applyAlignment="1"/>
    <xf numFmtId="0" fontId="26" fillId="8" borderId="14" xfId="0" applyFont="1" applyFill="1" applyBorder="1" applyAlignment="1"/>
    <xf numFmtId="189" fontId="5" fillId="8" borderId="15" xfId="0" applyNumberFormat="1" applyFont="1" applyFill="1" applyBorder="1" applyAlignment="1">
      <alignment horizontal="right"/>
    </xf>
    <xf numFmtId="187" fontId="2" fillId="0" borderId="19" xfId="0" applyNumberFormat="1" applyFont="1" applyBorder="1" applyAlignment="1"/>
    <xf numFmtId="187" fontId="2" fillId="0" borderId="0" xfId="0" applyNumberFormat="1" applyFont="1" applyAlignment="1"/>
    <xf numFmtId="0" fontId="5" fillId="0" borderId="0" xfId="0" quotePrefix="1" applyFont="1" applyAlignment="1"/>
    <xf numFmtId="0" fontId="2" fillId="0" borderId="0" xfId="0" applyFont="1" applyAlignment="1"/>
    <xf numFmtId="0" fontId="2" fillId="0" borderId="20" xfId="0" applyFont="1" applyBorder="1" applyAlignment="1"/>
    <xf numFmtId="189" fontId="5" fillId="2" borderId="20" xfId="0" applyNumberFormat="1" applyFont="1" applyFill="1" applyBorder="1" applyAlignment="1">
      <alignment horizontal="right"/>
    </xf>
    <xf numFmtId="188" fontId="5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/>
    <xf numFmtId="187" fontId="27" fillId="25" borderId="5" xfId="0" applyNumberFormat="1" applyFont="1" applyFill="1" applyBorder="1" applyAlignment="1"/>
    <xf numFmtId="187" fontId="28" fillId="25" borderId="6" xfId="0" applyNumberFormat="1" applyFont="1" applyFill="1" applyBorder="1" applyAlignment="1"/>
    <xf numFmtId="0" fontId="28" fillId="25" borderId="6" xfId="0" applyFont="1" applyFill="1" applyBorder="1" applyAlignment="1"/>
    <xf numFmtId="189" fontId="28" fillId="25" borderId="6" xfId="0" applyNumberFormat="1" applyFont="1" applyFill="1" applyBorder="1" applyAlignment="1"/>
    <xf numFmtId="188" fontId="28" fillId="25" borderId="6" xfId="0" applyNumberFormat="1" applyFont="1" applyFill="1" applyBorder="1" applyAlignment="1"/>
    <xf numFmtId="188" fontId="2" fillId="25" borderId="6" xfId="0" applyNumberFormat="1" applyFont="1" applyFill="1" applyBorder="1" applyAlignment="1"/>
    <xf numFmtId="188" fontId="2" fillId="25" borderId="7" xfId="0" applyNumberFormat="1" applyFont="1" applyFill="1" applyBorder="1" applyAlignment="1"/>
    <xf numFmtId="187" fontId="1" fillId="26" borderId="13" xfId="0" applyNumberFormat="1" applyFont="1" applyFill="1" applyBorder="1" applyAlignment="1"/>
    <xf numFmtId="0" fontId="2" fillId="26" borderId="14" xfId="0" applyFont="1" applyFill="1" applyBorder="1" applyAlignment="1"/>
    <xf numFmtId="187" fontId="2" fillId="26" borderId="14" xfId="0" applyNumberFormat="1" applyFont="1" applyFill="1" applyBorder="1" applyAlignment="1"/>
    <xf numFmtId="189" fontId="2" fillId="26" borderId="14" xfId="0" applyNumberFormat="1" applyFont="1" applyFill="1" applyBorder="1" applyAlignment="1"/>
    <xf numFmtId="189" fontId="2" fillId="26" borderId="15" xfId="0" applyNumberFormat="1" applyFont="1" applyFill="1" applyBorder="1" applyAlignment="1"/>
    <xf numFmtId="188" fontId="2" fillId="26" borderId="15" xfId="0" applyNumberFormat="1" applyFont="1" applyFill="1" applyBorder="1" applyAlignment="1"/>
    <xf numFmtId="190" fontId="2" fillId="27" borderId="13" xfId="0" applyNumberFormat="1" applyFont="1" applyFill="1" applyBorder="1" applyAlignment="1"/>
    <xf numFmtId="0" fontId="1" fillId="27" borderId="14" xfId="0" applyFont="1" applyFill="1" applyBorder="1" applyAlignment="1"/>
    <xf numFmtId="0" fontId="2" fillId="27" borderId="14" xfId="0" applyFont="1" applyFill="1" applyBorder="1" applyAlignment="1"/>
    <xf numFmtId="187" fontId="2" fillId="27" borderId="14" xfId="0" applyNumberFormat="1" applyFont="1" applyFill="1" applyBorder="1" applyAlignment="1"/>
    <xf numFmtId="0" fontId="2" fillId="27" borderId="15" xfId="0" applyFont="1" applyFill="1" applyBorder="1" applyAlignment="1"/>
    <xf numFmtId="0" fontId="1" fillId="27" borderId="15" xfId="0" applyFont="1" applyFill="1" applyBorder="1" applyAlignment="1">
      <alignment horizontal="center" wrapText="1"/>
    </xf>
    <xf numFmtId="189" fontId="1" fillId="27" borderId="15" xfId="0" applyNumberFormat="1" applyFont="1" applyFill="1" applyBorder="1" applyAlignment="1">
      <alignment horizontal="right"/>
    </xf>
    <xf numFmtId="188" fontId="1" fillId="27" borderId="15" xfId="0" applyNumberFormat="1" applyFont="1" applyFill="1" applyBorder="1" applyAlignment="1">
      <alignment horizontal="right"/>
    </xf>
    <xf numFmtId="188" fontId="2" fillId="27" borderId="15" xfId="0" applyNumberFormat="1" applyFont="1" applyFill="1" applyBorder="1" applyAlignment="1"/>
    <xf numFmtId="0" fontId="1" fillId="0" borderId="14" xfId="0" applyFont="1" applyBorder="1" applyAlignment="1"/>
    <xf numFmtId="187" fontId="2" fillId="8" borderId="19" xfId="0" applyNumberFormat="1" applyFont="1" applyFill="1" applyBorder="1" applyAlignment="1"/>
    <xf numFmtId="187" fontId="2" fillId="8" borderId="0" xfId="0" applyNumberFormat="1" applyFont="1" applyFill="1" applyAlignment="1"/>
    <xf numFmtId="0" fontId="2" fillId="8" borderId="0" xfId="0" applyFont="1" applyFill="1" applyAlignment="1"/>
    <xf numFmtId="0" fontId="5" fillId="8" borderId="0" xfId="0" applyFont="1" applyFill="1" applyAlignment="1"/>
    <xf numFmtId="0" fontId="2" fillId="8" borderId="20" xfId="0" applyFont="1" applyFill="1" applyBorder="1" applyAlignment="1"/>
    <xf numFmtId="0" fontId="5" fillId="8" borderId="20" xfId="0" applyFont="1" applyFill="1" applyBorder="1" applyAlignment="1">
      <alignment horizontal="center"/>
    </xf>
    <xf numFmtId="189" fontId="5" fillId="8" borderId="20" xfId="0" applyNumberFormat="1" applyFont="1" applyFill="1" applyBorder="1" applyAlignment="1">
      <alignment horizontal="right"/>
    </xf>
    <xf numFmtId="188" fontId="5" fillId="8" borderId="20" xfId="0" applyNumberFormat="1" applyFont="1" applyFill="1" applyBorder="1" applyAlignment="1">
      <alignment horizontal="right"/>
    </xf>
    <xf numFmtId="188" fontId="2" fillId="8" borderId="20" xfId="0" applyNumberFormat="1" applyFont="1" applyFill="1" applyBorder="1" applyAlignment="1"/>
    <xf numFmtId="187" fontId="1" fillId="28" borderId="5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189" fontId="2" fillId="28" borderId="6" xfId="0" applyNumberFormat="1" applyFont="1" applyFill="1" applyBorder="1" applyAlignment="1"/>
    <xf numFmtId="188" fontId="2" fillId="28" borderId="6" xfId="0" applyNumberFormat="1" applyFont="1" applyFill="1" applyBorder="1" applyAlignment="1"/>
    <xf numFmtId="188" fontId="2" fillId="28" borderId="7" xfId="0" applyNumberFormat="1" applyFont="1" applyFill="1" applyBorder="1" applyAlignment="1"/>
    <xf numFmtId="187" fontId="1" fillId="29" borderId="13" xfId="0" applyNumberFormat="1" applyFont="1" applyFill="1" applyBorder="1" applyAlignment="1"/>
    <xf numFmtId="187" fontId="2" fillId="29" borderId="14" xfId="0" applyNumberFormat="1" applyFont="1" applyFill="1" applyBorder="1" applyAlignment="1"/>
    <xf numFmtId="0" fontId="2" fillId="29" borderId="14" xfId="0" applyFont="1" applyFill="1" applyBorder="1" applyAlignment="1"/>
    <xf numFmtId="0" fontId="2" fillId="29" borderId="15" xfId="0" applyFont="1" applyFill="1" applyBorder="1" applyAlignment="1"/>
    <xf numFmtId="189" fontId="2" fillId="29" borderId="15" xfId="0" applyNumberFormat="1" applyFont="1" applyFill="1" applyBorder="1" applyAlignment="1"/>
    <xf numFmtId="188" fontId="2" fillId="29" borderId="15" xfId="0" applyNumberFormat="1" applyFont="1" applyFill="1" applyBorder="1" applyAlignment="1"/>
    <xf numFmtId="187" fontId="2" fillId="30" borderId="13" xfId="0" applyNumberFormat="1" applyFont="1" applyFill="1" applyBorder="1" applyAlignment="1"/>
    <xf numFmtId="0" fontId="1" fillId="30" borderId="14" xfId="0" applyFont="1" applyFill="1" applyBorder="1" applyAlignment="1"/>
    <xf numFmtId="0" fontId="2" fillId="30" borderId="14" xfId="0" applyFont="1" applyFill="1" applyBorder="1" applyAlignment="1"/>
    <xf numFmtId="0" fontId="2" fillId="30" borderId="15" xfId="0" applyFont="1" applyFill="1" applyBorder="1" applyAlignment="1"/>
    <xf numFmtId="0" fontId="1" fillId="30" borderId="15" xfId="0" applyFont="1" applyFill="1" applyBorder="1" applyAlignment="1">
      <alignment horizontal="center" wrapText="1"/>
    </xf>
    <xf numFmtId="189" fontId="1" fillId="30" borderId="15" xfId="0" applyNumberFormat="1" applyFont="1" applyFill="1" applyBorder="1" applyAlignment="1">
      <alignment horizontal="right"/>
    </xf>
    <xf numFmtId="188" fontId="1" fillId="30" borderId="15" xfId="0" applyNumberFormat="1" applyFont="1" applyFill="1" applyBorder="1" applyAlignment="1">
      <alignment horizontal="right"/>
    </xf>
    <xf numFmtId="188" fontId="2" fillId="30" borderId="15" xfId="0" applyNumberFormat="1" applyFont="1" applyFill="1" applyBorder="1" applyAlignment="1"/>
    <xf numFmtId="190" fontId="2" fillId="30" borderId="13" xfId="0" applyNumberFormat="1" applyFont="1" applyFill="1" applyBorder="1" applyAlignment="1"/>
    <xf numFmtId="190" fontId="2" fillId="30" borderId="14" xfId="0" applyNumberFormat="1" applyFont="1" applyFill="1" applyBorder="1" applyAlignment="1"/>
    <xf numFmtId="187" fontId="2" fillId="30" borderId="14" xfId="0" applyNumberFormat="1" applyFont="1" applyFill="1" applyBorder="1" applyAlignment="1"/>
    <xf numFmtId="189" fontId="29" fillId="30" borderId="25" xfId="0" applyNumberFormat="1" applyFont="1" applyFill="1" applyBorder="1" applyAlignment="1">
      <alignment horizontal="right"/>
    </xf>
    <xf numFmtId="189" fontId="29" fillId="30" borderId="18" xfId="0" applyNumberFormat="1" applyFont="1" applyFill="1" applyBorder="1" applyAlignment="1">
      <alignment horizontal="right"/>
    </xf>
    <xf numFmtId="188" fontId="29" fillId="30" borderId="18" xfId="0" applyNumberFormat="1" applyFont="1" applyFill="1" applyBorder="1" applyAlignment="1">
      <alignment horizontal="right"/>
    </xf>
    <xf numFmtId="0" fontId="1" fillId="21" borderId="14" xfId="0" applyFont="1" applyFill="1" applyBorder="1" applyAlignment="1"/>
    <xf numFmtId="0" fontId="2" fillId="2" borderId="21" xfId="0" applyFont="1" applyFill="1" applyBorder="1" applyAlignment="1"/>
    <xf numFmtId="189" fontId="2" fillId="2" borderId="21" xfId="0" applyNumberFormat="1" applyFont="1" applyFill="1" applyBorder="1" applyAlignment="1"/>
    <xf numFmtId="188" fontId="2" fillId="2" borderId="21" xfId="0" applyNumberFormat="1" applyFont="1" applyFill="1" applyBorder="1" applyAlignment="1"/>
    <xf numFmtId="187" fontId="30" fillId="23" borderId="16" xfId="0" applyNumberFormat="1" applyFont="1" applyFill="1" applyBorder="1" applyAlignment="1"/>
    <xf numFmtId="0" fontId="30" fillId="23" borderId="17" xfId="0" applyFont="1" applyFill="1" applyBorder="1" applyAlignment="1"/>
    <xf numFmtId="187" fontId="30" fillId="23" borderId="17" xfId="0" applyNumberFormat="1" applyFont="1" applyFill="1" applyBorder="1" applyAlignment="1"/>
    <xf numFmtId="187" fontId="31" fillId="23" borderId="17" xfId="0" applyNumberFormat="1" applyFont="1" applyFill="1" applyBorder="1" applyAlignment="1"/>
    <xf numFmtId="0" fontId="30" fillId="23" borderId="18" xfId="0" applyFont="1" applyFill="1" applyBorder="1" applyAlignment="1"/>
    <xf numFmtId="0" fontId="29" fillId="23" borderId="18" xfId="0" applyFont="1" applyFill="1" applyBorder="1" applyAlignment="1">
      <alignment horizontal="center" wrapText="1"/>
    </xf>
    <xf numFmtId="189" fontId="29" fillId="23" borderId="18" xfId="0" applyNumberFormat="1" applyFont="1" applyFill="1" applyBorder="1" applyAlignment="1">
      <alignment horizontal="right"/>
    </xf>
    <xf numFmtId="188" fontId="29" fillId="23" borderId="18" xfId="0" applyNumberFormat="1" applyFont="1" applyFill="1" applyBorder="1" applyAlignment="1">
      <alignment horizontal="right"/>
    </xf>
    <xf numFmtId="188" fontId="2" fillId="23" borderId="18" xfId="0" applyNumberFormat="1" applyFont="1" applyFill="1" applyBorder="1" applyAlignment="1"/>
    <xf numFmtId="187" fontId="30" fillId="2" borderId="13" xfId="0" applyNumberFormat="1" applyFont="1" applyFill="1" applyBorder="1" applyAlignment="1"/>
    <xf numFmtId="0" fontId="30" fillId="2" borderId="14" xfId="0" applyFont="1" applyFill="1" applyBorder="1" applyAlignment="1"/>
    <xf numFmtId="187" fontId="30" fillId="2" borderId="14" xfId="0" applyNumberFormat="1" applyFont="1" applyFill="1" applyBorder="1" applyAlignment="1"/>
    <xf numFmtId="0" fontId="30" fillId="0" borderId="14" xfId="0" applyFont="1" applyBorder="1" applyAlignment="1"/>
    <xf numFmtId="0" fontId="23" fillId="0" borderId="14" xfId="0" applyFont="1" applyBorder="1" applyAlignment="1"/>
    <xf numFmtId="0" fontId="30" fillId="2" borderId="15" xfId="0" applyFont="1" applyFill="1" applyBorder="1" applyAlignment="1"/>
    <xf numFmtId="0" fontId="23" fillId="2" borderId="15" xfId="0" applyFont="1" applyFill="1" applyBorder="1" applyAlignment="1">
      <alignment horizontal="center" wrapText="1"/>
    </xf>
    <xf numFmtId="189" fontId="23" fillId="2" borderId="15" xfId="0" applyNumberFormat="1" applyFont="1" applyFill="1" applyBorder="1" applyAlignment="1">
      <alignment horizontal="right"/>
    </xf>
    <xf numFmtId="188" fontId="23" fillId="2" borderId="15" xfId="0" applyNumberFormat="1" applyFont="1" applyFill="1" applyBorder="1" applyAlignment="1">
      <alignment horizontal="right"/>
    </xf>
    <xf numFmtId="187" fontId="30" fillId="2" borderId="15" xfId="0" applyNumberFormat="1" applyFont="1" applyFill="1" applyBorder="1" applyAlignment="1"/>
    <xf numFmtId="189" fontId="30" fillId="2" borderId="15" xfId="0" applyNumberFormat="1" applyFont="1" applyFill="1" applyBorder="1" applyAlignment="1"/>
    <xf numFmtId="188" fontId="30" fillId="2" borderId="15" xfId="0" applyNumberFormat="1" applyFont="1" applyFill="1" applyBorder="1" applyAlignment="1"/>
    <xf numFmtId="187" fontId="23" fillId="2" borderId="15" xfId="0" applyNumberFormat="1" applyFont="1" applyFill="1" applyBorder="1" applyAlignment="1">
      <alignment horizontal="center" wrapText="1"/>
    </xf>
    <xf numFmtId="187" fontId="30" fillId="0" borderId="14" xfId="0" applyNumberFormat="1" applyFont="1" applyBorder="1" applyAlignment="1"/>
    <xf numFmtId="187" fontId="32" fillId="2" borderId="14" xfId="0" applyNumberFormat="1" applyFont="1" applyFill="1" applyBorder="1" applyAlignment="1"/>
    <xf numFmtId="187" fontId="30" fillId="23" borderId="13" xfId="0" applyNumberFormat="1" applyFont="1" applyFill="1" applyBorder="1" applyAlignment="1"/>
    <xf numFmtId="0" fontId="30" fillId="23" borderId="14" xfId="0" applyFont="1" applyFill="1" applyBorder="1" applyAlignment="1"/>
    <xf numFmtId="187" fontId="30" fillId="23" borderId="14" xfId="0" applyNumberFormat="1" applyFont="1" applyFill="1" applyBorder="1" applyAlignment="1"/>
    <xf numFmtId="0" fontId="33" fillId="23" borderId="14" xfId="0" applyFont="1" applyFill="1" applyBorder="1" applyAlignment="1"/>
    <xf numFmtId="0" fontId="30" fillId="23" borderId="15" xfId="0" applyFont="1" applyFill="1" applyBorder="1" applyAlignment="1"/>
    <xf numFmtId="0" fontId="29" fillId="23" borderId="15" xfId="0" applyFont="1" applyFill="1" applyBorder="1" applyAlignment="1">
      <alignment horizontal="center" wrapText="1"/>
    </xf>
    <xf numFmtId="189" fontId="29" fillId="23" borderId="15" xfId="0" applyNumberFormat="1" applyFont="1" applyFill="1" applyBorder="1" applyAlignment="1">
      <alignment horizontal="right"/>
    </xf>
    <xf numFmtId="188" fontId="29" fillId="23" borderId="15" xfId="0" applyNumberFormat="1" applyFont="1" applyFill="1" applyBorder="1" applyAlignment="1">
      <alignment horizontal="right"/>
    </xf>
    <xf numFmtId="187" fontId="23" fillId="2" borderId="15" xfId="0" applyNumberFormat="1" applyFont="1" applyFill="1" applyBorder="1" applyAlignment="1">
      <alignment horizontal="center"/>
    </xf>
    <xf numFmtId="189" fontId="2" fillId="30" borderId="15" xfId="0" applyNumberFormat="1" applyFont="1" applyFill="1" applyBorder="1" applyAlignment="1"/>
    <xf numFmtId="0" fontId="34" fillId="23" borderId="14" xfId="0" applyFont="1" applyFill="1" applyBorder="1" applyAlignment="1"/>
    <xf numFmtId="0" fontId="1" fillId="23" borderId="15" xfId="0" applyFont="1" applyFill="1" applyBorder="1" applyAlignment="1">
      <alignment horizontal="center"/>
    </xf>
    <xf numFmtId="189" fontId="1" fillId="23" borderId="15" xfId="0" applyNumberFormat="1" applyFont="1" applyFill="1" applyBorder="1" applyAlignment="1"/>
    <xf numFmtId="189" fontId="1" fillId="23" borderId="15" xfId="0" applyNumberFormat="1" applyFont="1" applyFill="1" applyBorder="1" applyAlignment="1"/>
    <xf numFmtId="188" fontId="1" fillId="23" borderId="15" xfId="0" applyNumberFormat="1" applyFont="1" applyFill="1" applyBorder="1" applyAlignment="1"/>
    <xf numFmtId="0" fontId="5" fillId="0" borderId="14" xfId="0" quotePrefix="1" applyFont="1" applyBorder="1" applyAlignment="1"/>
    <xf numFmtId="187" fontId="35" fillId="0" borderId="19" xfId="0" applyNumberFormat="1" applyFont="1" applyBorder="1" applyAlignment="1"/>
    <xf numFmtId="0" fontId="5" fillId="0" borderId="20" xfId="0" applyFont="1" applyBorder="1" applyAlignment="1">
      <alignment horizontal="center"/>
    </xf>
    <xf numFmtId="187" fontId="36" fillId="2" borderId="26" xfId="0" applyNumberFormat="1" applyFont="1" applyFill="1" applyBorder="1" applyAlignment="1"/>
    <xf numFmtId="0" fontId="1" fillId="2" borderId="26" xfId="0" applyFont="1" applyFill="1" applyBorder="1" applyAlignment="1"/>
    <xf numFmtId="187" fontId="2" fillId="2" borderId="26" xfId="0" applyNumberFormat="1" applyFont="1" applyFill="1" applyBorder="1" applyAlignment="1"/>
    <xf numFmtId="187" fontId="37" fillId="2" borderId="26" xfId="0" applyNumberFormat="1" applyFont="1" applyFill="1" applyBorder="1" applyAlignment="1"/>
    <xf numFmtId="0" fontId="2" fillId="2" borderId="26" xfId="0" applyFont="1" applyFill="1" applyBorder="1" applyAlignment="1"/>
    <xf numFmtId="0" fontId="2" fillId="2" borderId="27" xfId="0" applyFont="1" applyFill="1" applyBorder="1" applyAlignment="1"/>
    <xf numFmtId="189" fontId="2" fillId="2" borderId="28" xfId="0" applyNumberFormat="1" applyFont="1" applyFill="1" applyBorder="1" applyAlignment="1"/>
    <xf numFmtId="188" fontId="2" fillId="2" borderId="28" xfId="0" applyNumberFormat="1" applyFont="1" applyFill="1" applyBorder="1" applyAlignment="1"/>
    <xf numFmtId="187" fontId="1" fillId="31" borderId="5" xfId="0" applyNumberFormat="1" applyFont="1" applyFill="1" applyBorder="1" applyAlignment="1"/>
    <xf numFmtId="187" fontId="2" fillId="31" borderId="6" xfId="0" applyNumberFormat="1" applyFont="1" applyFill="1" applyBorder="1" applyAlignment="1"/>
    <xf numFmtId="0" fontId="2" fillId="31" borderId="6" xfId="0" applyFont="1" applyFill="1" applyBorder="1" applyAlignment="1"/>
    <xf numFmtId="189" fontId="2" fillId="31" borderId="6" xfId="0" applyNumberFormat="1" applyFont="1" applyFill="1" applyBorder="1" applyAlignment="1"/>
    <xf numFmtId="188" fontId="2" fillId="31" borderId="6" xfId="0" applyNumberFormat="1" applyFont="1" applyFill="1" applyBorder="1" applyAlignment="1"/>
    <xf numFmtId="188" fontId="2" fillId="31" borderId="7" xfId="0" applyNumberFormat="1" applyFont="1" applyFill="1" applyBorder="1" applyAlignment="1"/>
    <xf numFmtId="187" fontId="1" fillId="32" borderId="13" xfId="0" applyNumberFormat="1" applyFont="1" applyFill="1" applyBorder="1" applyAlignment="1"/>
    <xf numFmtId="187" fontId="2" fillId="32" borderId="14" xfId="0" applyNumberFormat="1" applyFont="1" applyFill="1" applyBorder="1" applyAlignment="1"/>
    <xf numFmtId="0" fontId="2" fillId="32" borderId="14" xfId="0" applyFont="1" applyFill="1" applyBorder="1" applyAlignment="1"/>
    <xf numFmtId="0" fontId="2" fillId="32" borderId="15" xfId="0" applyFont="1" applyFill="1" applyBorder="1" applyAlignment="1"/>
    <xf numFmtId="189" fontId="2" fillId="32" borderId="15" xfId="0" applyNumberFormat="1" applyFont="1" applyFill="1" applyBorder="1" applyAlignment="1"/>
    <xf numFmtId="188" fontId="2" fillId="32" borderId="15" xfId="0" applyNumberFormat="1" applyFont="1" applyFill="1" applyBorder="1" applyAlignment="1"/>
    <xf numFmtId="187" fontId="2" fillId="33" borderId="13" xfId="0" applyNumberFormat="1" applyFont="1" applyFill="1" applyBorder="1" applyAlignment="1"/>
    <xf numFmtId="0" fontId="1" fillId="33" borderId="14" xfId="0" applyFont="1" applyFill="1" applyBorder="1" applyAlignment="1"/>
    <xf numFmtId="187" fontId="2" fillId="33" borderId="14" xfId="0" applyNumberFormat="1" applyFont="1" applyFill="1" applyBorder="1" applyAlignment="1"/>
    <xf numFmtId="0" fontId="2" fillId="33" borderId="14" xfId="0" applyFont="1" applyFill="1" applyBorder="1" applyAlignment="1"/>
    <xf numFmtId="0" fontId="2" fillId="33" borderId="15" xfId="0" applyFont="1" applyFill="1" applyBorder="1" applyAlignment="1"/>
    <xf numFmtId="0" fontId="1" fillId="33" borderId="15" xfId="0" applyFont="1" applyFill="1" applyBorder="1" applyAlignment="1">
      <alignment horizontal="center" wrapText="1"/>
    </xf>
    <xf numFmtId="189" fontId="1" fillId="33" borderId="15" xfId="0" applyNumberFormat="1" applyFont="1" applyFill="1" applyBorder="1" applyAlignment="1">
      <alignment horizontal="right"/>
    </xf>
    <xf numFmtId="188" fontId="1" fillId="33" borderId="15" xfId="0" applyNumberFormat="1" applyFont="1" applyFill="1" applyBorder="1" applyAlignment="1">
      <alignment horizontal="right"/>
    </xf>
    <xf numFmtId="188" fontId="2" fillId="33" borderId="15" xfId="0" applyNumberFormat="1" applyFont="1" applyFill="1" applyBorder="1" applyAlignment="1"/>
    <xf numFmtId="187" fontId="2" fillId="2" borderId="8" xfId="0" applyNumberFormat="1" applyFont="1" applyFill="1" applyBorder="1" applyAlignment="1"/>
    <xf numFmtId="187" fontId="2" fillId="2" borderId="9" xfId="0" applyNumberFormat="1" applyFont="1" applyFill="1" applyBorder="1" applyAlignment="1"/>
    <xf numFmtId="0" fontId="5" fillId="0" borderId="9" xfId="0" applyFont="1" applyBorder="1" applyAlignment="1"/>
    <xf numFmtId="187" fontId="2" fillId="0" borderId="9" xfId="0" applyNumberFormat="1" applyFont="1" applyBorder="1" applyAlignment="1"/>
    <xf numFmtId="0" fontId="5" fillId="2" borderId="10" xfId="0" applyFont="1" applyFill="1" applyBorder="1" applyAlignment="1">
      <alignment horizontal="center" wrapText="1"/>
    </xf>
    <xf numFmtId="189" fontId="5" fillId="2" borderId="10" xfId="0" applyNumberFormat="1" applyFont="1" applyFill="1" applyBorder="1" applyAlignment="1">
      <alignment horizontal="right"/>
    </xf>
    <xf numFmtId="0" fontId="38" fillId="0" borderId="0" xfId="0" applyFont="1"/>
    <xf numFmtId="0" fontId="37" fillId="0" borderId="0" xfId="0" applyFont="1" applyAlignment="1"/>
    <xf numFmtId="0" fontId="39" fillId="0" borderId="0" xfId="0" applyFont="1"/>
    <xf numFmtId="0" fontId="1" fillId="8" borderId="5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1" fillId="9" borderId="8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1" fillId="8" borderId="8" xfId="0" applyFont="1" applyFill="1" applyBorder="1" applyAlignment="1"/>
    <xf numFmtId="0" fontId="1" fillId="15" borderId="5" xfId="0" applyFont="1" applyFill="1" applyBorder="1" applyAlignment="1"/>
    <xf numFmtId="0" fontId="1" fillId="16" borderId="14" xfId="0" applyFont="1" applyFill="1" applyBorder="1" applyAlignment="1"/>
    <xf numFmtId="0" fontId="3" fillId="0" borderId="14" xfId="0" applyFont="1" applyBorder="1"/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1" fillId="4" borderId="5" xfId="0" applyFont="1" applyFill="1" applyBorder="1" applyAlignment="1">
      <alignment horizontal="center"/>
    </xf>
    <xf numFmtId="188" fontId="1" fillId="5" borderId="5" xfId="0" applyNumberFormat="1" applyFont="1" applyFill="1" applyBorder="1" applyAlignment="1">
      <alignment horizontal="center" wrapText="1"/>
    </xf>
    <xf numFmtId="188" fontId="1" fillId="6" borderId="5" xfId="0" applyNumberFormat="1" applyFont="1" applyFill="1" applyBorder="1" applyAlignment="1">
      <alignment horizontal="center"/>
    </xf>
    <xf numFmtId="188" fontId="16" fillId="2" borderId="10" xfId="0" applyNumberFormat="1" applyFont="1" applyFill="1" applyBorder="1" applyAlignment="1"/>
    <xf numFmtId="188" fontId="17" fillId="2" borderId="10" xfId="0" applyNumberFormat="1" applyFont="1" applyFill="1" applyBorder="1" applyAlignment="1">
      <alignment horizontal="right"/>
    </xf>
    <xf numFmtId="189" fontId="17" fillId="34" borderId="10" xfId="0" applyNumberFormat="1" applyFont="1" applyFill="1" applyBorder="1" applyAlignment="1">
      <alignment horizontal="right"/>
    </xf>
    <xf numFmtId="189" fontId="17" fillId="2" borderId="10" xfId="0" applyNumberFormat="1" applyFont="1" applyFill="1" applyBorder="1" applyAlignment="1">
      <alignment horizontal="right"/>
    </xf>
    <xf numFmtId="0" fontId="17" fillId="2" borderId="10" xfId="0" applyFont="1" applyFill="1" applyBorder="1" applyAlignment="1">
      <alignment horizontal="center" wrapText="1"/>
    </xf>
    <xf numFmtId="0" fontId="16" fillId="2" borderId="10" xfId="0" applyFont="1" applyFill="1" applyBorder="1" applyAlignment="1"/>
    <xf numFmtId="0" fontId="16" fillId="2" borderId="9" xfId="0" applyFont="1" applyFill="1" applyBorder="1" applyAlignment="1"/>
    <xf numFmtId="187" fontId="16" fillId="0" borderId="9" xfId="0" applyNumberFormat="1" applyFont="1" applyBorder="1" applyAlignment="1"/>
    <xf numFmtId="0" fontId="17" fillId="0" borderId="9" xfId="0" applyFont="1" applyBorder="1" applyAlignment="1"/>
    <xf numFmtId="187" fontId="16" fillId="2" borderId="9" xfId="0" applyNumberFormat="1" applyFont="1" applyFill="1" applyBorder="1" applyAlignment="1"/>
    <xf numFmtId="187" fontId="16" fillId="2" borderId="8" xfId="0" applyNumberFormat="1" applyFont="1" applyFill="1" applyBorder="1" applyAlignment="1"/>
    <xf numFmtId="188" fontId="16" fillId="2" borderId="15" xfId="0" applyNumberFormat="1" applyFont="1" applyFill="1" applyBorder="1" applyAlignment="1"/>
    <xf numFmtId="188" fontId="17" fillId="2" borderId="15" xfId="0" applyNumberFormat="1" applyFont="1" applyFill="1" applyBorder="1" applyAlignment="1">
      <alignment horizontal="right"/>
    </xf>
    <xf numFmtId="189" fontId="17" fillId="34" borderId="15" xfId="0" applyNumberFormat="1" applyFont="1" applyFill="1" applyBorder="1" applyAlignment="1">
      <alignment horizontal="right"/>
    </xf>
    <xf numFmtId="0" fontId="17" fillId="2" borderId="15" xfId="0" applyFont="1" applyFill="1" applyBorder="1" applyAlignment="1">
      <alignment horizontal="center" wrapText="1"/>
    </xf>
    <xf numFmtId="0" fontId="16" fillId="2" borderId="15" xfId="0" applyFont="1" applyFill="1" applyBorder="1" applyAlignment="1"/>
    <xf numFmtId="0" fontId="16" fillId="2" borderId="14" xfId="0" applyFont="1" applyFill="1" applyBorder="1" applyAlignment="1"/>
    <xf numFmtId="187" fontId="16" fillId="0" borderId="14" xfId="0" applyNumberFormat="1" applyFont="1" applyBorder="1" applyAlignment="1"/>
    <xf numFmtId="0" fontId="17" fillId="0" borderId="14" xfId="0" applyFont="1" applyBorder="1" applyAlignment="1"/>
    <xf numFmtId="187" fontId="16" fillId="2" borderId="14" xfId="0" applyNumberFormat="1" applyFont="1" applyFill="1" applyBorder="1" applyAlignment="1"/>
    <xf numFmtId="187" fontId="16" fillId="2" borderId="13" xfId="0" applyNumberFormat="1" applyFont="1" applyFill="1" applyBorder="1" applyAlignment="1"/>
    <xf numFmtId="188" fontId="16" fillId="0" borderId="15" xfId="0" applyNumberFormat="1" applyFont="1" applyBorder="1" applyAlignment="1"/>
    <xf numFmtId="189" fontId="16" fillId="0" borderId="15" xfId="0" applyNumberFormat="1" applyFont="1" applyBorder="1" applyAlignment="1"/>
    <xf numFmtId="0" fontId="16" fillId="0" borderId="15" xfId="0" applyFont="1" applyBorder="1" applyAlignment="1"/>
    <xf numFmtId="0" fontId="16" fillId="21" borderId="15" xfId="0" applyFont="1" applyFill="1" applyBorder="1" applyAlignment="1"/>
    <xf numFmtId="0" fontId="16" fillId="21" borderId="14" xfId="0" applyFont="1" applyFill="1" applyBorder="1" applyAlignment="1"/>
    <xf numFmtId="0" fontId="24" fillId="21" borderId="14" xfId="0" quotePrefix="1" applyFont="1" applyFill="1" applyBorder="1" applyAlignment="1"/>
    <xf numFmtId="0" fontId="18" fillId="2" borderId="14" xfId="0" applyFont="1" applyFill="1" applyBorder="1" applyAlignment="1"/>
    <xf numFmtId="187" fontId="16" fillId="0" borderId="13" xfId="0" applyNumberFormat="1" applyFont="1" applyBorder="1" applyAlignment="1"/>
    <xf numFmtId="187" fontId="17" fillId="0" borderId="15" xfId="0" applyNumberFormat="1" applyFont="1" applyBorder="1" applyAlignment="1">
      <alignment horizontal="center"/>
    </xf>
    <xf numFmtId="0" fontId="17" fillId="2" borderId="14" xfId="0" applyFont="1" applyFill="1" applyBorder="1" applyAlignment="1"/>
    <xf numFmtId="190" fontId="16" fillId="2" borderId="13" xfId="0" applyNumberFormat="1" applyFont="1" applyFill="1" applyBorder="1" applyAlignment="1"/>
    <xf numFmtId="187" fontId="17" fillId="0" borderId="15" xfId="0" applyNumberFormat="1" applyFont="1" applyBorder="1" applyAlignment="1">
      <alignment horizontal="center" wrapText="1"/>
    </xf>
    <xf numFmtId="0" fontId="40" fillId="2" borderId="14" xfId="0" applyFont="1" applyFill="1" applyBorder="1" applyAlignment="1"/>
    <xf numFmtId="187" fontId="17" fillId="2" borderId="15" xfId="0" applyNumberFormat="1" applyFont="1" applyFill="1" applyBorder="1" applyAlignment="1">
      <alignment horizontal="center"/>
    </xf>
    <xf numFmtId="188" fontId="18" fillId="2" borderId="15" xfId="0" applyNumberFormat="1" applyFont="1" applyFill="1" applyBorder="1" applyAlignment="1">
      <alignment horizontal="right"/>
    </xf>
    <xf numFmtId="187" fontId="18" fillId="2" borderId="15" xfId="0" applyNumberFormat="1" applyFont="1" applyFill="1" applyBorder="1" applyAlignment="1">
      <alignment horizontal="center"/>
    </xf>
    <xf numFmtId="0" fontId="24" fillId="2" borderId="14" xfId="0" applyFont="1" applyFill="1" applyBorder="1" applyAlignment="1"/>
    <xf numFmtId="188" fontId="16" fillId="33" borderId="15" xfId="0" applyNumberFormat="1" applyFont="1" applyFill="1" applyBorder="1" applyAlignment="1"/>
    <xf numFmtId="188" fontId="18" fillId="33" borderId="15" xfId="0" applyNumberFormat="1" applyFont="1" applyFill="1" applyBorder="1" applyAlignment="1">
      <alignment horizontal="right"/>
    </xf>
    <xf numFmtId="189" fontId="18" fillId="33" borderId="15" xfId="0" applyNumberFormat="1" applyFont="1" applyFill="1" applyBorder="1" applyAlignment="1">
      <alignment horizontal="right"/>
    </xf>
    <xf numFmtId="0" fontId="18" fillId="33" borderId="15" xfId="0" applyFont="1" applyFill="1" applyBorder="1" applyAlignment="1">
      <alignment horizontal="center" wrapText="1"/>
    </xf>
    <xf numFmtId="0" fontId="16" fillId="33" borderId="15" xfId="0" applyFont="1" applyFill="1" applyBorder="1" applyAlignment="1"/>
    <xf numFmtId="0" fontId="16" fillId="33" borderId="14" xfId="0" applyFont="1" applyFill="1" applyBorder="1" applyAlignment="1"/>
    <xf numFmtId="187" fontId="16" fillId="33" borderId="14" xfId="0" applyNumberFormat="1" applyFont="1" applyFill="1" applyBorder="1" applyAlignment="1"/>
    <xf numFmtId="0" fontId="18" fillId="33" borderId="14" xfId="0" applyFont="1" applyFill="1" applyBorder="1" applyAlignment="1"/>
    <xf numFmtId="187" fontId="16" fillId="33" borderId="13" xfId="0" applyNumberFormat="1" applyFont="1" applyFill="1" applyBorder="1" applyAlignment="1"/>
    <xf numFmtId="188" fontId="16" fillId="32" borderId="15" xfId="0" applyNumberFormat="1" applyFont="1" applyFill="1" applyBorder="1" applyAlignment="1"/>
    <xf numFmtId="189" fontId="16" fillId="32" borderId="15" xfId="0" applyNumberFormat="1" applyFont="1" applyFill="1" applyBorder="1" applyAlignment="1"/>
    <xf numFmtId="0" fontId="16" fillId="32" borderId="15" xfId="0" applyFont="1" applyFill="1" applyBorder="1" applyAlignment="1"/>
    <xf numFmtId="187" fontId="16" fillId="32" borderId="14" xfId="0" applyNumberFormat="1" applyFont="1" applyFill="1" applyBorder="1" applyAlignment="1"/>
    <xf numFmtId="0" fontId="16" fillId="32" borderId="14" xfId="0" applyFont="1" applyFill="1" applyBorder="1" applyAlignment="1"/>
    <xf numFmtId="187" fontId="18" fillId="32" borderId="13" xfId="0" applyNumberFormat="1" applyFont="1" applyFill="1" applyBorder="1" applyAlignment="1"/>
    <xf numFmtId="188" fontId="16" fillId="31" borderId="7" xfId="0" applyNumberFormat="1" applyFont="1" applyFill="1" applyBorder="1" applyAlignment="1"/>
    <xf numFmtId="188" fontId="16" fillId="31" borderId="6" xfId="0" applyNumberFormat="1" applyFont="1" applyFill="1" applyBorder="1" applyAlignment="1"/>
    <xf numFmtId="189" fontId="16" fillId="31" borderId="6" xfId="0" applyNumberFormat="1" applyFont="1" applyFill="1" applyBorder="1" applyAlignment="1"/>
    <xf numFmtId="0" fontId="16" fillId="31" borderId="6" xfId="0" applyFont="1" applyFill="1" applyBorder="1" applyAlignment="1"/>
    <xf numFmtId="187" fontId="16" fillId="31" borderId="6" xfId="0" applyNumberFormat="1" applyFont="1" applyFill="1" applyBorder="1" applyAlignment="1"/>
    <xf numFmtId="187" fontId="18" fillId="31" borderId="5" xfId="0" applyNumberFormat="1" applyFont="1" applyFill="1" applyBorder="1" applyAlignment="1"/>
    <xf numFmtId="191" fontId="5" fillId="2" borderId="20" xfId="0" applyNumberFormat="1" applyFont="1" applyFill="1" applyBorder="1" applyAlignment="1">
      <alignment horizontal="right"/>
    </xf>
    <xf numFmtId="191" fontId="5" fillId="2" borderId="15" xfId="0" applyNumberFormat="1" applyFont="1" applyFill="1" applyBorder="1" applyAlignment="1">
      <alignment horizontal="right"/>
    </xf>
    <xf numFmtId="0" fontId="4" fillId="21" borderId="14" xfId="0" quotePrefix="1" applyFont="1" applyFill="1" applyBorder="1" applyAlignment="1"/>
    <xf numFmtId="0" fontId="4" fillId="23" borderId="14" xfId="0" applyFont="1" applyFill="1" applyBorder="1" applyAlignment="1"/>
    <xf numFmtId="0" fontId="6" fillId="2" borderId="14" xfId="0" applyFont="1" applyFill="1" applyBorder="1" applyAlignment="1"/>
    <xf numFmtId="0" fontId="4" fillId="2" borderId="14" xfId="0" applyFont="1" applyFill="1" applyBorder="1" applyAlignment="1"/>
    <xf numFmtId="188" fontId="30" fillId="23" borderId="15" xfId="0" applyNumberFormat="1" applyFont="1" applyFill="1" applyBorder="1" applyAlignment="1"/>
    <xf numFmtId="0" fontId="31" fillId="23" borderId="14" xfId="0" applyFont="1" applyFill="1" applyBorder="1" applyAlignment="1"/>
    <xf numFmtId="188" fontId="30" fillId="23" borderId="18" xfId="0" applyNumberFormat="1" applyFont="1" applyFill="1" applyBorder="1" applyAlignment="1"/>
    <xf numFmtId="189" fontId="5" fillId="34" borderId="15" xfId="0" applyNumberFormat="1" applyFont="1" applyFill="1" applyBorder="1" applyAlignment="1">
      <alignment horizontal="right"/>
    </xf>
    <xf numFmtId="0" fontId="17" fillId="2" borderId="15" xfId="0" applyFont="1" applyFill="1" applyBorder="1" applyAlignment="1">
      <alignment horizontal="center"/>
    </xf>
    <xf numFmtId="188" fontId="28" fillId="25" borderId="7" xfId="0" applyNumberFormat="1" applyFont="1" applyFill="1" applyBorder="1" applyAlignment="1"/>
    <xf numFmtId="188" fontId="16" fillId="0" borderId="20" xfId="0" applyNumberFormat="1" applyFont="1" applyBorder="1" applyAlignment="1"/>
    <xf numFmtId="188" fontId="17" fillId="0" borderId="20" xfId="0" applyNumberFormat="1" applyFont="1" applyBorder="1" applyAlignment="1">
      <alignment horizontal="right"/>
    </xf>
    <xf numFmtId="189" fontId="17" fillId="2" borderId="20" xfId="0" applyNumberFormat="1" applyFont="1" applyFill="1" applyBorder="1" applyAlignment="1">
      <alignment horizontal="right"/>
    </xf>
    <xf numFmtId="0" fontId="17" fillId="2" borderId="20" xfId="0" applyFont="1" applyFill="1" applyBorder="1" applyAlignment="1">
      <alignment horizontal="center"/>
    </xf>
    <xf numFmtId="0" fontId="16" fillId="0" borderId="20" xfId="0" applyFont="1" applyBorder="1" applyAlignment="1"/>
    <xf numFmtId="0" fontId="16" fillId="0" borderId="0" xfId="0" applyFont="1" applyAlignment="1"/>
    <xf numFmtId="0" fontId="17" fillId="0" borderId="0" xfId="0" quotePrefix="1" applyFont="1" applyAlignment="1"/>
    <xf numFmtId="187" fontId="16" fillId="0" borderId="0" xfId="0" applyNumberFormat="1" applyFont="1" applyAlignment="1"/>
    <xf numFmtId="187" fontId="16" fillId="0" borderId="19" xfId="0" applyNumberFormat="1" applyFont="1" applyBorder="1" applyAlignment="1"/>
    <xf numFmtId="188" fontId="16" fillId="21" borderId="15" xfId="0" applyNumberFormat="1" applyFont="1" applyFill="1" applyBorder="1" applyAlignment="1"/>
    <xf numFmtId="188" fontId="18" fillId="21" borderId="15" xfId="0" applyNumberFormat="1" applyFont="1" applyFill="1" applyBorder="1" applyAlignment="1">
      <alignment horizontal="right"/>
    </xf>
    <xf numFmtId="189" fontId="18" fillId="21" borderId="15" xfId="0" applyNumberFormat="1" applyFont="1" applyFill="1" applyBorder="1" applyAlignment="1">
      <alignment horizontal="right"/>
    </xf>
    <xf numFmtId="0" fontId="18" fillId="21" borderId="15" xfId="0" applyFont="1" applyFill="1" applyBorder="1" applyAlignment="1">
      <alignment horizontal="center" wrapText="1"/>
    </xf>
    <xf numFmtId="187" fontId="16" fillId="21" borderId="14" xfId="0" applyNumberFormat="1" applyFont="1" applyFill="1" applyBorder="1" applyAlignment="1"/>
    <xf numFmtId="0" fontId="18" fillId="21" borderId="14" xfId="0" applyFont="1" applyFill="1" applyBorder="1" applyAlignment="1"/>
    <xf numFmtId="187" fontId="16" fillId="21" borderId="13" xfId="0" applyNumberFormat="1" applyFont="1" applyFill="1" applyBorder="1" applyAlignment="1"/>
    <xf numFmtId="188" fontId="16" fillId="22" borderId="15" xfId="0" applyNumberFormat="1" applyFont="1" applyFill="1" applyBorder="1" applyAlignment="1"/>
    <xf numFmtId="189" fontId="16" fillId="22" borderId="15" xfId="0" applyNumberFormat="1" applyFont="1" applyFill="1" applyBorder="1" applyAlignment="1"/>
    <xf numFmtId="0" fontId="16" fillId="22" borderId="15" xfId="0" applyFont="1" applyFill="1" applyBorder="1" applyAlignment="1"/>
    <xf numFmtId="0" fontId="16" fillId="22" borderId="14" xfId="0" applyFont="1" applyFill="1" applyBorder="1" applyAlignment="1"/>
    <xf numFmtId="187" fontId="16" fillId="22" borderId="14" xfId="0" applyNumberFormat="1" applyFont="1" applyFill="1" applyBorder="1" applyAlignment="1"/>
    <xf numFmtId="187" fontId="18" fillId="22" borderId="13" xfId="0" applyNumberFormat="1" applyFont="1" applyFill="1" applyBorder="1" applyAlignment="1"/>
    <xf numFmtId="0" fontId="17" fillId="0" borderId="15" xfId="0" applyFont="1" applyBorder="1" applyAlignment="1">
      <alignment horizontal="center"/>
    </xf>
    <xf numFmtId="0" fontId="16" fillId="0" borderId="14" xfId="0" applyFont="1" applyBorder="1" applyAlignment="1"/>
    <xf numFmtId="0" fontId="17" fillId="0" borderId="14" xfId="0" quotePrefix="1" applyFont="1" applyBorder="1" applyAlignment="1"/>
    <xf numFmtId="187" fontId="17" fillId="0" borderId="14" xfId="0" quotePrefix="1" applyNumberFormat="1" applyFont="1" applyBorder="1" applyAlignment="1"/>
    <xf numFmtId="187" fontId="18" fillId="2" borderId="14" xfId="0" applyNumberFormat="1" applyFont="1" applyFill="1" applyBorder="1" applyAlignment="1"/>
    <xf numFmtId="188" fontId="17" fillId="34" borderId="15" xfId="0" applyNumberFormat="1" applyFont="1" applyFill="1" applyBorder="1" applyAlignment="1">
      <alignment horizontal="right"/>
    </xf>
    <xf numFmtId="187" fontId="18" fillId="0" borderId="15" xfId="0" applyNumberFormat="1" applyFont="1" applyBorder="1" applyAlignment="1">
      <alignment horizontal="center" wrapText="1"/>
    </xf>
    <xf numFmtId="0" fontId="24" fillId="2" borderId="14" xfId="0" quotePrefix="1" applyFont="1" applyFill="1" applyBorder="1" applyAlignment="1"/>
    <xf numFmtId="188" fontId="16" fillId="23" borderId="15" xfId="0" applyNumberFormat="1" applyFont="1" applyFill="1" applyBorder="1" applyAlignment="1"/>
    <xf numFmtId="188" fontId="18" fillId="23" borderId="15" xfId="0" applyNumberFormat="1" applyFont="1" applyFill="1" applyBorder="1" applyAlignment="1">
      <alignment horizontal="right"/>
    </xf>
    <xf numFmtId="189" fontId="18" fillId="23" borderId="15" xfId="0" applyNumberFormat="1" applyFont="1" applyFill="1" applyBorder="1" applyAlignment="1">
      <alignment horizontal="right"/>
    </xf>
    <xf numFmtId="0" fontId="18" fillId="23" borderId="15" xfId="0" applyFont="1" applyFill="1" applyBorder="1" applyAlignment="1">
      <alignment horizontal="center" wrapText="1"/>
    </xf>
    <xf numFmtId="0" fontId="16" fillId="23" borderId="15" xfId="0" applyFont="1" applyFill="1" applyBorder="1" applyAlignment="1"/>
    <xf numFmtId="0" fontId="16" fillId="23" borderId="14" xfId="0" applyFont="1" applyFill="1" applyBorder="1" applyAlignment="1"/>
    <xf numFmtId="0" fontId="18" fillId="23" borderId="14" xfId="0" applyFont="1" applyFill="1" applyBorder="1" applyAlignment="1"/>
    <xf numFmtId="187" fontId="16" fillId="23" borderId="14" xfId="0" applyNumberFormat="1" applyFont="1" applyFill="1" applyBorder="1" applyAlignment="1"/>
    <xf numFmtId="187" fontId="16" fillId="23" borderId="13" xfId="0" applyNumberFormat="1" applyFont="1" applyFill="1" applyBorder="1" applyAlignment="1"/>
    <xf numFmtId="188" fontId="5" fillId="34" borderId="15" xfId="0" applyNumberFormat="1" applyFont="1" applyFill="1" applyBorder="1" applyAlignment="1">
      <alignment horizontal="right"/>
    </xf>
    <xf numFmtId="0" fontId="4" fillId="2" borderId="14" xfId="0" quotePrefix="1" applyFont="1" applyFill="1" applyBorder="1" applyAlignment="1"/>
    <xf numFmtId="188" fontId="1" fillId="34" borderId="15" xfId="0" applyNumberFormat="1" applyFont="1" applyFill="1" applyBorder="1" applyAlignment="1">
      <alignment horizontal="right"/>
    </xf>
    <xf numFmtId="187" fontId="17" fillId="2" borderId="14" xfId="0" applyNumberFormat="1" applyFont="1" applyFill="1" applyBorder="1" applyAlignment="1"/>
    <xf numFmtId="188" fontId="16" fillId="2" borderId="20" xfId="0" applyNumberFormat="1" applyFont="1" applyFill="1" applyBorder="1" applyAlignment="1"/>
    <xf numFmtId="188" fontId="17" fillId="2" borderId="20" xfId="0" applyNumberFormat="1" applyFont="1" applyFill="1" applyBorder="1" applyAlignment="1">
      <alignment horizontal="right"/>
    </xf>
    <xf numFmtId="189" fontId="17" fillId="34" borderId="20" xfId="0" applyNumberFormat="1" applyFont="1" applyFill="1" applyBorder="1" applyAlignment="1">
      <alignment horizontal="right"/>
    </xf>
    <xf numFmtId="187" fontId="17" fillId="0" borderId="20" xfId="0" applyNumberFormat="1" applyFont="1" applyBorder="1" applyAlignment="1">
      <alignment horizontal="center"/>
    </xf>
    <xf numFmtId="0" fontId="16" fillId="2" borderId="20" xfId="0" applyFont="1" applyFill="1" applyBorder="1" applyAlignment="1"/>
    <xf numFmtId="0" fontId="16" fillId="2" borderId="0" xfId="0" applyFont="1" applyFill="1" applyAlignment="1"/>
    <xf numFmtId="0" fontId="17" fillId="2" borderId="0" xfId="0" applyFont="1" applyFill="1" applyAlignment="1"/>
    <xf numFmtId="190" fontId="16" fillId="2" borderId="19" xfId="0" applyNumberFormat="1" applyFont="1" applyFill="1" applyBorder="1" applyAlignment="1"/>
    <xf numFmtId="189" fontId="5" fillId="34" borderId="24" xfId="0" applyNumberFormat="1" applyFont="1" applyFill="1" applyBorder="1" applyAlignment="1">
      <alignment horizontal="right"/>
    </xf>
    <xf numFmtId="189" fontId="5" fillId="34" borderId="18" xfId="0" applyNumberFormat="1" applyFont="1" applyFill="1" applyBorder="1" applyAlignment="1">
      <alignment horizontal="right"/>
    </xf>
    <xf numFmtId="0" fontId="16" fillId="2" borderId="13" xfId="0" applyFont="1" applyFill="1" applyBorder="1" applyAlignment="1"/>
    <xf numFmtId="188" fontId="17" fillId="18" borderId="15" xfId="0" applyNumberFormat="1" applyFont="1" applyFill="1" applyBorder="1" applyAlignment="1">
      <alignment horizontal="right"/>
    </xf>
    <xf numFmtId="188" fontId="16" fillId="18" borderId="15" xfId="0" applyNumberFormat="1" applyFont="1" applyFill="1" applyBorder="1" applyAlignment="1"/>
    <xf numFmtId="189" fontId="16" fillId="18" borderId="15" xfId="0" applyNumberFormat="1" applyFont="1" applyFill="1" applyBorder="1" applyAlignment="1"/>
    <xf numFmtId="0" fontId="17" fillId="18" borderId="15" xfId="0" applyFont="1" applyFill="1" applyBorder="1" applyAlignment="1">
      <alignment horizontal="center"/>
    </xf>
    <xf numFmtId="0" fontId="16" fillId="18" borderId="15" xfId="0" applyFont="1" applyFill="1" applyBorder="1" applyAlignment="1"/>
    <xf numFmtId="0" fontId="16" fillId="18" borderId="14" xfId="0" applyFont="1" applyFill="1" applyBorder="1" applyAlignment="1"/>
    <xf numFmtId="0" fontId="17" fillId="18" borderId="14" xfId="0" applyFont="1" applyFill="1" applyBorder="1" applyAlignment="1"/>
    <xf numFmtId="0" fontId="16" fillId="18" borderId="13" xfId="0" applyFont="1" applyFill="1" applyBorder="1" applyAlignment="1"/>
    <xf numFmtId="0" fontId="4" fillId="18" borderId="14" xfId="0" applyFont="1" applyFill="1" applyBorder="1" applyAlignment="1"/>
    <xf numFmtId="188" fontId="23" fillId="2" borderId="10" xfId="0" applyNumberFormat="1" applyFont="1" applyFill="1" applyBorder="1" applyAlignment="1">
      <alignment horizontal="right"/>
    </xf>
    <xf numFmtId="188" fontId="30" fillId="2" borderId="10" xfId="0" applyNumberFormat="1" applyFont="1" applyFill="1" applyBorder="1" applyAlignment="1"/>
    <xf numFmtId="189" fontId="30" fillId="2" borderId="10" xfId="0" applyNumberFormat="1" applyFont="1" applyFill="1" applyBorder="1" applyAlignment="1"/>
    <xf numFmtId="0" fontId="23" fillId="2" borderId="10" xfId="0" applyFont="1" applyFill="1" applyBorder="1" applyAlignment="1">
      <alignment horizontal="center"/>
    </xf>
    <xf numFmtId="0" fontId="30" fillId="2" borderId="10" xfId="0" applyFont="1" applyFill="1" applyBorder="1" applyAlignment="1"/>
    <xf numFmtId="0" fontId="30" fillId="2" borderId="9" xfId="0" applyFont="1" applyFill="1" applyBorder="1" applyAlignment="1"/>
    <xf numFmtId="0" fontId="23" fillId="2" borderId="9" xfId="0" applyFont="1" applyFill="1" applyBorder="1" applyAlignment="1"/>
    <xf numFmtId="0" fontId="30" fillId="2" borderId="8" xfId="0" applyFont="1" applyFill="1" applyBorder="1" applyAlignment="1"/>
    <xf numFmtId="0" fontId="30" fillId="2" borderId="13" xfId="0" applyFont="1" applyFill="1" applyBorder="1" applyAlignment="1"/>
    <xf numFmtId="188" fontId="23" fillId="2" borderId="18" xfId="0" applyNumberFormat="1" applyFont="1" applyFill="1" applyBorder="1" applyAlignment="1">
      <alignment horizontal="right"/>
    </xf>
    <xf numFmtId="188" fontId="30" fillId="2" borderId="18" xfId="0" applyNumberFormat="1" applyFont="1" applyFill="1" applyBorder="1" applyAlignment="1"/>
    <xf numFmtId="189" fontId="30" fillId="2" borderId="18" xfId="0" applyNumberFormat="1" applyFont="1" applyFill="1" applyBorder="1" applyAlignment="1"/>
    <xf numFmtId="0" fontId="23" fillId="2" borderId="18" xfId="0" applyFont="1" applyFill="1" applyBorder="1" applyAlignment="1">
      <alignment horizontal="center"/>
    </xf>
    <xf numFmtId="0" fontId="30" fillId="2" borderId="18" xfId="0" applyFont="1" applyFill="1" applyBorder="1" applyAlignment="1"/>
    <xf numFmtId="0" fontId="30" fillId="2" borderId="17" xfId="0" applyFont="1" applyFill="1" applyBorder="1" applyAlignment="1"/>
    <xf numFmtId="0" fontId="41" fillId="2" borderId="17" xfId="0" applyFont="1" applyFill="1" applyBorder="1" applyAlignment="1"/>
    <xf numFmtId="0" fontId="30" fillId="2" borderId="16" xfId="0" applyFont="1" applyFill="1" applyBorder="1" applyAlignment="1"/>
    <xf numFmtId="188" fontId="17" fillId="14" borderId="15" xfId="0" applyNumberFormat="1" applyFont="1" applyFill="1" applyBorder="1" applyAlignment="1">
      <alignment horizontal="right"/>
    </xf>
    <xf numFmtId="188" fontId="16" fillId="14" borderId="15" xfId="0" applyNumberFormat="1" applyFont="1" applyFill="1" applyBorder="1" applyAlignment="1"/>
    <xf numFmtId="189" fontId="16" fillId="14" borderId="15" xfId="0" applyNumberFormat="1" applyFont="1" applyFill="1" applyBorder="1" applyAlignment="1"/>
    <xf numFmtId="0" fontId="17" fillId="14" borderId="15" xfId="0" applyFont="1" applyFill="1" applyBorder="1" applyAlignment="1">
      <alignment horizontal="center"/>
    </xf>
    <xf numFmtId="0" fontId="16" fillId="14" borderId="15" xfId="0" applyFont="1" applyFill="1" applyBorder="1" applyAlignment="1"/>
    <xf numFmtId="0" fontId="16" fillId="14" borderId="14" xfId="0" applyFont="1" applyFill="1" applyBorder="1" applyAlignment="1"/>
    <xf numFmtId="0" fontId="17" fillId="14" borderId="14" xfId="0" applyFont="1" applyFill="1" applyBorder="1" applyAlignment="1"/>
    <xf numFmtId="0" fontId="16" fillId="14" borderId="13" xfId="0" applyFont="1" applyFill="1" applyBorder="1" applyAlignment="1"/>
    <xf numFmtId="0" fontId="4" fillId="14" borderId="14" xfId="0" applyFont="1" applyFill="1" applyBorder="1" applyAlignment="1"/>
    <xf numFmtId="188" fontId="17" fillId="8" borderId="10" xfId="0" applyNumberFormat="1" applyFont="1" applyFill="1" applyBorder="1" applyAlignment="1">
      <alignment horizontal="right"/>
    </xf>
    <xf numFmtId="188" fontId="16" fillId="8" borderId="10" xfId="0" applyNumberFormat="1" applyFont="1" applyFill="1" applyBorder="1" applyAlignment="1"/>
    <xf numFmtId="189" fontId="16" fillId="8" borderId="10" xfId="0" applyNumberFormat="1" applyFont="1" applyFill="1" applyBorder="1" applyAlignment="1"/>
    <xf numFmtId="0" fontId="17" fillId="8" borderId="10" xfId="0" applyFont="1" applyFill="1" applyBorder="1" applyAlignment="1">
      <alignment horizontal="center"/>
    </xf>
    <xf numFmtId="0" fontId="16" fillId="8" borderId="10" xfId="0" applyFont="1" applyFill="1" applyBorder="1" applyAlignment="1"/>
    <xf numFmtId="0" fontId="16" fillId="8" borderId="9" xfId="0" applyFont="1" applyFill="1" applyBorder="1" applyAlignment="1"/>
    <xf numFmtId="0" fontId="17" fillId="8" borderId="9" xfId="0" applyFont="1" applyFill="1" applyBorder="1" applyAlignment="1"/>
    <xf numFmtId="0" fontId="16" fillId="8" borderId="8" xfId="0" applyFont="1" applyFill="1" applyBorder="1" applyAlignment="1"/>
    <xf numFmtId="0" fontId="16" fillId="8" borderId="13" xfId="0" applyFont="1" applyFill="1" applyBorder="1" applyAlignment="1"/>
    <xf numFmtId="0" fontId="40" fillId="8" borderId="14" xfId="0" applyFont="1" applyFill="1" applyBorder="1" applyAlignment="1"/>
    <xf numFmtId="0" fontId="24" fillId="8" borderId="14" xfId="0" applyFont="1" applyFill="1" applyBorder="1" applyAlignment="1"/>
    <xf numFmtId="0" fontId="18" fillId="8" borderId="8" xfId="0" applyFont="1" applyFill="1" applyBorder="1" applyAlignment="1"/>
    <xf numFmtId="188" fontId="17" fillId="10" borderId="15" xfId="0" applyNumberFormat="1" applyFont="1" applyFill="1" applyBorder="1" applyAlignment="1">
      <alignment horizontal="right"/>
    </xf>
    <xf numFmtId="188" fontId="16" fillId="10" borderId="15" xfId="0" applyNumberFormat="1" applyFont="1" applyFill="1" applyBorder="1" applyAlignment="1"/>
    <xf numFmtId="189" fontId="16" fillId="10" borderId="15" xfId="0" applyNumberFormat="1" applyFont="1" applyFill="1" applyBorder="1" applyAlignment="1"/>
    <xf numFmtId="0" fontId="17" fillId="10" borderId="15" xfId="0" applyFont="1" applyFill="1" applyBorder="1" applyAlignment="1">
      <alignment horizontal="center"/>
    </xf>
    <xf numFmtId="0" fontId="16" fillId="10" borderId="15" xfId="0" applyFont="1" applyFill="1" applyBorder="1" applyAlignment="1"/>
    <xf numFmtId="0" fontId="16" fillId="10" borderId="14" xfId="0" applyFont="1" applyFill="1" applyBorder="1" applyAlignment="1"/>
    <xf numFmtId="0" fontId="17" fillId="10" borderId="14" xfId="0" applyFont="1" applyFill="1" applyBorder="1" applyAlignment="1"/>
    <xf numFmtId="0" fontId="16" fillId="10" borderId="13" xfId="0" applyFont="1" applyFill="1" applyBorder="1" applyAlignment="1"/>
    <xf numFmtId="0" fontId="4" fillId="10" borderId="14" xfId="0" applyFont="1" applyFill="1" applyBorder="1" applyAlignment="1"/>
    <xf numFmtId="188" fontId="16" fillId="8" borderId="12" xfId="0" applyNumberFormat="1" applyFont="1" applyFill="1" applyBorder="1" applyAlignment="1"/>
    <xf numFmtId="189" fontId="16" fillId="8" borderId="12" xfId="0" applyNumberFormat="1" applyFont="1" applyFill="1" applyBorder="1" applyAlignment="1"/>
    <xf numFmtId="0" fontId="16" fillId="8" borderId="12" xfId="0" applyFont="1" applyFill="1" applyBorder="1" applyAlignment="1"/>
    <xf numFmtId="0" fontId="18" fillId="8" borderId="5" xfId="0" applyFont="1" applyFill="1" applyBorder="1" applyAlignment="1"/>
    <xf numFmtId="0" fontId="30" fillId="0" borderId="0" xfId="0" applyFont="1" applyAlignment="1"/>
    <xf numFmtId="0" fontId="32" fillId="0" borderId="0" xfId="0" applyFont="1" applyAlignment="1"/>
    <xf numFmtId="187" fontId="30" fillId="0" borderId="9" xfId="0" applyNumberFormat="1" applyFont="1" applyBorder="1" applyAlignment="1"/>
    <xf numFmtId="187" fontId="30" fillId="2" borderId="9" xfId="0" applyNumberFormat="1" applyFont="1" applyFill="1" applyBorder="1" applyAlignment="1"/>
    <xf numFmtId="187" fontId="30" fillId="2" borderId="8" xfId="0" applyNumberFormat="1" applyFont="1" applyFill="1" applyBorder="1" applyAlignment="1"/>
    <xf numFmtId="188" fontId="30" fillId="0" borderId="15" xfId="0" applyNumberFormat="1" applyFont="1" applyBorder="1" applyAlignment="1"/>
    <xf numFmtId="189" fontId="30" fillId="0" borderId="15" xfId="0" applyNumberFormat="1" applyFont="1" applyBorder="1" applyAlignment="1"/>
    <xf numFmtId="0" fontId="30" fillId="0" borderId="15" xfId="0" applyFont="1" applyBorder="1" applyAlignment="1"/>
    <xf numFmtId="0" fontId="30" fillId="21" borderId="15" xfId="0" applyFont="1" applyFill="1" applyBorder="1" applyAlignment="1"/>
    <xf numFmtId="0" fontId="30" fillId="21" borderId="14" xfId="0" applyFont="1" applyFill="1" applyBorder="1" applyAlignment="1"/>
    <xf numFmtId="187" fontId="30" fillId="0" borderId="13" xfId="0" applyNumberFormat="1" applyFont="1" applyBorder="1" applyAlignment="1"/>
    <xf numFmtId="190" fontId="30" fillId="2" borderId="13" xfId="0" applyNumberFormat="1" applyFont="1" applyFill="1" applyBorder="1" applyAlignment="1"/>
    <xf numFmtId="188" fontId="30" fillId="33" borderId="15" xfId="0" applyNumberFormat="1" applyFont="1" applyFill="1" applyBorder="1" applyAlignment="1"/>
    <xf numFmtId="187" fontId="18" fillId="33" borderId="15" xfId="0" applyNumberFormat="1" applyFont="1" applyFill="1" applyBorder="1" applyAlignment="1">
      <alignment horizontal="center" wrapText="1"/>
    </xf>
    <xf numFmtId="0" fontId="30" fillId="33" borderId="15" xfId="0" applyFont="1" applyFill="1" applyBorder="1" applyAlignment="1"/>
    <xf numFmtId="0" fontId="30" fillId="33" borderId="14" xfId="0" applyFont="1" applyFill="1" applyBorder="1" applyAlignment="1"/>
    <xf numFmtId="187" fontId="30" fillId="33" borderId="14" xfId="0" applyNumberFormat="1" applyFont="1" applyFill="1" applyBorder="1" applyAlignment="1"/>
    <xf numFmtId="187" fontId="30" fillId="33" borderId="13" xfId="0" applyNumberFormat="1" applyFont="1" applyFill="1" applyBorder="1" applyAlignment="1"/>
    <xf numFmtId="188" fontId="30" fillId="32" borderId="15" xfId="0" applyNumberFormat="1" applyFont="1" applyFill="1" applyBorder="1" applyAlignment="1"/>
    <xf numFmtId="189" fontId="30" fillId="32" borderId="15" xfId="0" applyNumberFormat="1" applyFont="1" applyFill="1" applyBorder="1" applyAlignment="1"/>
    <xf numFmtId="187" fontId="30" fillId="32" borderId="15" xfId="0" applyNumberFormat="1" applyFont="1" applyFill="1" applyBorder="1" applyAlignment="1"/>
    <xf numFmtId="187" fontId="30" fillId="32" borderId="14" xfId="0" applyNumberFormat="1" applyFont="1" applyFill="1" applyBorder="1" applyAlignment="1"/>
    <xf numFmtId="0" fontId="30" fillId="32" borderId="14" xfId="0" applyFont="1" applyFill="1" applyBorder="1" applyAlignment="1"/>
    <xf numFmtId="188" fontId="30" fillId="31" borderId="10" xfId="0" applyNumberFormat="1" applyFont="1" applyFill="1" applyBorder="1" applyAlignment="1"/>
    <xf numFmtId="188" fontId="30" fillId="31" borderId="9" xfId="0" applyNumberFormat="1" applyFont="1" applyFill="1" applyBorder="1" applyAlignment="1"/>
    <xf numFmtId="189" fontId="30" fillId="31" borderId="9" xfId="0" applyNumberFormat="1" applyFont="1" applyFill="1" applyBorder="1" applyAlignment="1"/>
    <xf numFmtId="187" fontId="30" fillId="31" borderId="9" xfId="0" applyNumberFormat="1" applyFont="1" applyFill="1" applyBorder="1" applyAlignment="1"/>
    <xf numFmtId="0" fontId="30" fillId="31" borderId="9" xfId="0" applyFont="1" applyFill="1" applyBorder="1" applyAlignment="1"/>
    <xf numFmtId="187" fontId="18" fillId="31" borderId="8" xfId="0" applyNumberFormat="1" applyFont="1" applyFill="1" applyBorder="1" applyAlignment="1"/>
    <xf numFmtId="187" fontId="30" fillId="2" borderId="10" xfId="0" applyNumberFormat="1" applyFont="1" applyFill="1" applyBorder="1" applyAlignment="1"/>
    <xf numFmtId="187" fontId="32" fillId="2" borderId="9" xfId="0" applyNumberFormat="1" applyFont="1" applyFill="1" applyBorder="1" applyAlignment="1"/>
    <xf numFmtId="191" fontId="23" fillId="2" borderId="15" xfId="0" applyNumberFormat="1" applyFont="1" applyFill="1" applyBorder="1" applyAlignment="1">
      <alignment horizontal="right"/>
    </xf>
    <xf numFmtId="187" fontId="23" fillId="0" borderId="15" xfId="0" applyNumberFormat="1" applyFont="1" applyBorder="1" applyAlignment="1">
      <alignment horizontal="center"/>
    </xf>
    <xf numFmtId="0" fontId="23" fillId="0" borderId="14" xfId="0" quotePrefix="1" applyFont="1" applyBorder="1" applyAlignment="1"/>
    <xf numFmtId="0" fontId="23" fillId="0" borderId="15" xfId="0" applyFont="1" applyBorder="1" applyAlignment="1">
      <alignment horizontal="center" wrapText="1"/>
    </xf>
    <xf numFmtId="187" fontId="30" fillId="0" borderId="15" xfId="0" applyNumberFormat="1" applyFont="1" applyBorder="1" applyAlignment="1"/>
    <xf numFmtId="187" fontId="23" fillId="0" borderId="14" xfId="0" quotePrefix="1" applyNumberFormat="1" applyFont="1" applyBorder="1" applyAlignment="1"/>
    <xf numFmtId="187" fontId="31" fillId="21" borderId="14" xfId="0" quotePrefix="1" applyNumberFormat="1" applyFont="1" applyFill="1" applyBorder="1" applyAlignment="1"/>
    <xf numFmtId="187" fontId="29" fillId="2" borderId="14" xfId="0" applyNumberFormat="1" applyFont="1" applyFill="1" applyBorder="1" applyAlignment="1"/>
    <xf numFmtId="0" fontId="29" fillId="23" borderId="15" xfId="0" applyFont="1" applyFill="1" applyBorder="1" applyAlignment="1">
      <alignment horizontal="center"/>
    </xf>
    <xf numFmtId="0" fontId="41" fillId="2" borderId="14" xfId="0" applyFont="1" applyFill="1" applyBorder="1" applyAlignment="1"/>
    <xf numFmtId="187" fontId="23" fillId="0" borderId="15" xfId="0" applyNumberFormat="1" applyFont="1" applyBorder="1" applyAlignment="1">
      <alignment horizontal="center" wrapText="1"/>
    </xf>
    <xf numFmtId="188" fontId="29" fillId="2" borderId="15" xfId="0" applyNumberFormat="1" applyFont="1" applyFill="1" applyBorder="1" applyAlignment="1">
      <alignment horizontal="right"/>
    </xf>
    <xf numFmtId="187" fontId="29" fillId="2" borderId="15" xfId="0" applyNumberFormat="1" applyFont="1" applyFill="1" applyBorder="1" applyAlignment="1">
      <alignment horizontal="center"/>
    </xf>
    <xf numFmtId="0" fontId="31" fillId="2" borderId="14" xfId="0" applyFont="1" applyFill="1" applyBorder="1" applyAlignment="1"/>
    <xf numFmtId="0" fontId="29" fillId="2" borderId="14" xfId="0" applyFont="1" applyFill="1" applyBorder="1" applyAlignment="1"/>
    <xf numFmtId="188" fontId="30" fillId="30" borderId="15" xfId="0" applyNumberFormat="1" applyFont="1" applyFill="1" applyBorder="1" applyAlignment="1"/>
    <xf numFmtId="189" fontId="30" fillId="30" borderId="15" xfId="0" applyNumberFormat="1" applyFont="1" applyFill="1" applyBorder="1" applyAlignment="1"/>
    <xf numFmtId="187" fontId="30" fillId="30" borderId="15" xfId="0" applyNumberFormat="1" applyFont="1" applyFill="1" applyBorder="1" applyAlignment="1"/>
    <xf numFmtId="0" fontId="30" fillId="30" borderId="15" xfId="0" applyFont="1" applyFill="1" applyBorder="1" applyAlignment="1"/>
    <xf numFmtId="0" fontId="30" fillId="30" borderId="14" xfId="0" applyFont="1" applyFill="1" applyBorder="1" applyAlignment="1"/>
    <xf numFmtId="187" fontId="30" fillId="30" borderId="14" xfId="0" applyNumberFormat="1" applyFont="1" applyFill="1" applyBorder="1" applyAlignment="1"/>
    <xf numFmtId="0" fontId="29" fillId="30" borderId="14" xfId="0" applyFont="1" applyFill="1" applyBorder="1" applyAlignment="1"/>
    <xf numFmtId="187" fontId="30" fillId="30" borderId="13" xfId="0" applyNumberFormat="1" applyFont="1" applyFill="1" applyBorder="1" applyAlignment="1"/>
    <xf numFmtId="187" fontId="29" fillId="23" borderId="15" xfId="0" applyNumberFormat="1" applyFont="1" applyFill="1" applyBorder="1" applyAlignment="1">
      <alignment horizontal="center" wrapText="1"/>
    </xf>
    <xf numFmtId="0" fontId="29" fillId="21" borderId="14" xfId="0" applyFont="1" applyFill="1" applyBorder="1" applyAlignment="1"/>
    <xf numFmtId="187" fontId="23" fillId="2" borderId="14" xfId="0" applyNumberFormat="1" applyFont="1" applyFill="1" applyBorder="1" applyAlignment="1"/>
    <xf numFmtId="187" fontId="29" fillId="30" borderId="15" xfId="0" applyNumberFormat="1" applyFont="1" applyFill="1" applyBorder="1" applyAlignment="1">
      <alignment horizontal="center" wrapText="1"/>
    </xf>
    <xf numFmtId="188" fontId="30" fillId="29" borderId="15" xfId="0" applyNumberFormat="1" applyFont="1" applyFill="1" applyBorder="1" applyAlignment="1"/>
    <xf numFmtId="189" fontId="30" fillId="29" borderId="15" xfId="0" applyNumberFormat="1" applyFont="1" applyFill="1" applyBorder="1" applyAlignment="1"/>
    <xf numFmtId="187" fontId="30" fillId="29" borderId="14" xfId="0" applyNumberFormat="1" applyFont="1" applyFill="1" applyBorder="1" applyAlignment="1"/>
    <xf numFmtId="0" fontId="30" fillId="29" borderId="14" xfId="0" applyFont="1" applyFill="1" applyBorder="1" applyAlignment="1"/>
    <xf numFmtId="187" fontId="29" fillId="29" borderId="13" xfId="0" applyNumberFormat="1" applyFont="1" applyFill="1" applyBorder="1" applyAlignment="1"/>
    <xf numFmtId="189" fontId="23" fillId="34" borderId="15" xfId="0" applyNumberFormat="1" applyFont="1" applyFill="1" applyBorder="1" applyAlignment="1">
      <alignment horizontal="right"/>
    </xf>
    <xf numFmtId="0" fontId="31" fillId="21" borderId="14" xfId="0" quotePrefix="1" applyFont="1" applyFill="1" applyBorder="1" applyAlignment="1"/>
    <xf numFmtId="188" fontId="29" fillId="30" borderId="15" xfId="0" applyNumberFormat="1" applyFont="1" applyFill="1" applyBorder="1" applyAlignment="1">
      <alignment horizontal="right"/>
    </xf>
    <xf numFmtId="189" fontId="29" fillId="30" borderId="15" xfId="0" applyNumberFormat="1" applyFont="1" applyFill="1" applyBorder="1" applyAlignment="1">
      <alignment horizontal="right"/>
    </xf>
    <xf numFmtId="190" fontId="30" fillId="30" borderId="14" xfId="0" applyNumberFormat="1" applyFont="1" applyFill="1" applyBorder="1" applyAlignment="1"/>
    <xf numFmtId="190" fontId="30" fillId="30" borderId="13" xfId="0" applyNumberFormat="1" applyFont="1" applyFill="1" applyBorder="1" applyAlignment="1"/>
    <xf numFmtId="187" fontId="23" fillId="0" borderId="14" xfId="0" applyNumberFormat="1" applyFont="1" applyBorder="1" applyAlignment="1"/>
    <xf numFmtId="187" fontId="30" fillId="21" borderId="15" xfId="0" applyNumberFormat="1" applyFont="1" applyFill="1" applyBorder="1" applyAlignment="1"/>
    <xf numFmtId="187" fontId="30" fillId="21" borderId="14" xfId="0" applyNumberFormat="1" applyFont="1" applyFill="1" applyBorder="1" applyAlignment="1"/>
    <xf numFmtId="187" fontId="30" fillId="29" borderId="15" xfId="0" applyNumberFormat="1" applyFont="1" applyFill="1" applyBorder="1" applyAlignment="1"/>
    <xf numFmtId="0" fontId="30" fillId="29" borderId="15" xfId="0" applyFont="1" applyFill="1" applyBorder="1" applyAlignment="1"/>
    <xf numFmtId="188" fontId="30" fillId="28" borderId="10" xfId="0" applyNumberFormat="1" applyFont="1" applyFill="1" applyBorder="1" applyAlignment="1"/>
    <xf numFmtId="188" fontId="30" fillId="28" borderId="9" xfId="0" applyNumberFormat="1" applyFont="1" applyFill="1" applyBorder="1" applyAlignment="1"/>
    <xf numFmtId="189" fontId="30" fillId="28" borderId="9" xfId="0" applyNumberFormat="1" applyFont="1" applyFill="1" applyBorder="1" applyAlignment="1"/>
    <xf numFmtId="187" fontId="30" fillId="28" borderId="9" xfId="0" applyNumberFormat="1" applyFont="1" applyFill="1" applyBorder="1" applyAlignment="1"/>
    <xf numFmtId="0" fontId="30" fillId="28" borderId="9" xfId="0" applyFont="1" applyFill="1" applyBorder="1" applyAlignment="1"/>
    <xf numFmtId="187" fontId="29" fillId="28" borderId="8" xfId="0" applyNumberFormat="1" applyFont="1" applyFill="1" applyBorder="1" applyAlignment="1"/>
    <xf numFmtId="188" fontId="30" fillId="8" borderId="10" xfId="0" applyNumberFormat="1" applyFont="1" applyFill="1" applyBorder="1" applyAlignment="1"/>
    <xf numFmtId="189" fontId="30" fillId="8" borderId="10" xfId="0" applyNumberFormat="1" applyFont="1" applyFill="1" applyBorder="1" applyAlignment="1"/>
    <xf numFmtId="187" fontId="30" fillId="8" borderId="10" xfId="0" applyNumberFormat="1" applyFont="1" applyFill="1" applyBorder="1" applyAlignment="1"/>
    <xf numFmtId="0" fontId="30" fillId="8" borderId="10" xfId="0" applyFont="1" applyFill="1" applyBorder="1" applyAlignment="1"/>
    <xf numFmtId="0" fontId="30" fillId="8" borderId="9" xfId="0" applyFont="1" applyFill="1" applyBorder="1" applyAlignment="1"/>
    <xf numFmtId="187" fontId="30" fillId="8" borderId="9" xfId="0" applyNumberFormat="1" applyFont="1" applyFill="1" applyBorder="1" applyAlignment="1"/>
    <xf numFmtId="187" fontId="30" fillId="8" borderId="8" xfId="0" applyNumberFormat="1" applyFont="1" applyFill="1" applyBorder="1" applyAlignment="1"/>
    <xf numFmtId="188" fontId="30" fillId="8" borderId="15" xfId="0" applyNumberFormat="1" applyFont="1" applyFill="1" applyBorder="1" applyAlignment="1"/>
    <xf numFmtId="189" fontId="30" fillId="8" borderId="15" xfId="0" applyNumberFormat="1" applyFont="1" applyFill="1" applyBorder="1" applyAlignment="1"/>
    <xf numFmtId="187" fontId="30" fillId="8" borderId="15" xfId="0" applyNumberFormat="1" applyFont="1" applyFill="1" applyBorder="1" applyAlignment="1"/>
    <xf numFmtId="0" fontId="30" fillId="8" borderId="15" xfId="0" applyFont="1" applyFill="1" applyBorder="1" applyAlignment="1"/>
    <xf numFmtId="0" fontId="30" fillId="8" borderId="14" xfId="0" applyFont="1" applyFill="1" applyBorder="1" applyAlignment="1"/>
    <xf numFmtId="187" fontId="30" fillId="8" borderId="14" xfId="0" applyNumberFormat="1" applyFont="1" applyFill="1" applyBorder="1" applyAlignment="1"/>
    <xf numFmtId="187" fontId="30" fillId="8" borderId="13" xfId="0" applyNumberFormat="1" applyFont="1" applyFill="1" applyBorder="1" applyAlignment="1"/>
    <xf numFmtId="188" fontId="23" fillId="0" borderId="15" xfId="0" applyNumberFormat="1" applyFont="1" applyBorder="1" applyAlignment="1">
      <alignment horizontal="right"/>
    </xf>
    <xf numFmtId="189" fontId="23" fillId="0" borderId="15" xfId="0" applyNumberFormat="1" applyFont="1" applyBorder="1" applyAlignment="1">
      <alignment horizontal="right"/>
    </xf>
    <xf numFmtId="0" fontId="23" fillId="0" borderId="15" xfId="0" applyFont="1" applyBorder="1" applyAlignment="1">
      <alignment horizontal="center"/>
    </xf>
    <xf numFmtId="0" fontId="29" fillId="0" borderId="14" xfId="0" applyFont="1" applyBorder="1" applyAlignment="1"/>
    <xf numFmtId="188" fontId="29" fillId="0" borderId="15" xfId="0" applyNumberFormat="1" applyFont="1" applyBorder="1" applyAlignment="1">
      <alignment horizontal="right"/>
    </xf>
    <xf numFmtId="189" fontId="29" fillId="2" borderId="15" xfId="0" applyNumberFormat="1" applyFont="1" applyFill="1" applyBorder="1" applyAlignment="1">
      <alignment horizontal="right"/>
    </xf>
    <xf numFmtId="0" fontId="29" fillId="0" borderId="15" xfId="0" applyFont="1" applyBorder="1" applyAlignment="1">
      <alignment horizontal="center" wrapText="1"/>
    </xf>
    <xf numFmtId="188" fontId="30" fillId="27" borderId="15" xfId="0" applyNumberFormat="1" applyFont="1" applyFill="1" applyBorder="1" applyAlignment="1"/>
    <xf numFmtId="188" fontId="29" fillId="27" borderId="15" xfId="0" applyNumberFormat="1" applyFont="1" applyFill="1" applyBorder="1" applyAlignment="1">
      <alignment horizontal="right"/>
    </xf>
    <xf numFmtId="189" fontId="29" fillId="27" borderId="15" xfId="0" applyNumberFormat="1" applyFont="1" applyFill="1" applyBorder="1" applyAlignment="1">
      <alignment horizontal="right"/>
    </xf>
    <xf numFmtId="187" fontId="29" fillId="27" borderId="15" xfId="0" applyNumberFormat="1" applyFont="1" applyFill="1" applyBorder="1" applyAlignment="1">
      <alignment horizontal="center" wrapText="1"/>
    </xf>
    <xf numFmtId="0" fontId="30" fillId="27" borderId="15" xfId="0" applyFont="1" applyFill="1" applyBorder="1" applyAlignment="1"/>
    <xf numFmtId="0" fontId="30" fillId="27" borderId="14" xfId="0" applyFont="1" applyFill="1" applyBorder="1" applyAlignment="1"/>
    <xf numFmtId="187" fontId="30" fillId="27" borderId="14" xfId="0" applyNumberFormat="1" applyFont="1" applyFill="1" applyBorder="1" applyAlignment="1"/>
    <xf numFmtId="190" fontId="30" fillId="27" borderId="13" xfId="0" applyNumberFormat="1" applyFont="1" applyFill="1" applyBorder="1" applyAlignment="1"/>
    <xf numFmtId="0" fontId="29" fillId="27" borderId="14" xfId="0" applyFont="1" applyFill="1" applyBorder="1" applyAlignment="1"/>
    <xf numFmtId="188" fontId="30" fillId="26" borderId="15" xfId="0" applyNumberFormat="1" applyFont="1" applyFill="1" applyBorder="1" applyAlignment="1"/>
    <xf numFmtId="189" fontId="30" fillId="26" borderId="15" xfId="0" applyNumberFormat="1" applyFont="1" applyFill="1" applyBorder="1" applyAlignment="1"/>
    <xf numFmtId="189" fontId="30" fillId="26" borderId="14" xfId="0" applyNumberFormat="1" applyFont="1" applyFill="1" applyBorder="1" applyAlignment="1"/>
    <xf numFmtId="187" fontId="30" fillId="26" borderId="14" xfId="0" applyNumberFormat="1" applyFont="1" applyFill="1" applyBorder="1" applyAlignment="1"/>
    <xf numFmtId="0" fontId="30" fillId="26" borderId="14" xfId="0" applyFont="1" applyFill="1" applyBorder="1" applyAlignment="1"/>
    <xf numFmtId="187" fontId="29" fillId="26" borderId="13" xfId="0" applyNumberFormat="1" applyFont="1" applyFill="1" applyBorder="1" applyAlignment="1"/>
    <xf numFmtId="188" fontId="30" fillId="25" borderId="10" xfId="0" applyNumberFormat="1" applyFont="1" applyFill="1" applyBorder="1" applyAlignment="1"/>
    <xf numFmtId="188" fontId="30" fillId="25" borderId="9" xfId="0" applyNumberFormat="1" applyFont="1" applyFill="1" applyBorder="1" applyAlignment="1"/>
    <xf numFmtId="189" fontId="30" fillId="25" borderId="9" xfId="0" applyNumberFormat="1" applyFont="1" applyFill="1" applyBorder="1" applyAlignment="1"/>
    <xf numFmtId="187" fontId="30" fillId="25" borderId="9" xfId="0" applyNumberFormat="1" applyFont="1" applyFill="1" applyBorder="1" applyAlignment="1"/>
    <xf numFmtId="0" fontId="30" fillId="25" borderId="9" xfId="0" applyFont="1" applyFill="1" applyBorder="1" applyAlignment="1"/>
    <xf numFmtId="187" fontId="27" fillId="25" borderId="8" xfId="0" applyNumberFormat="1" applyFont="1" applyFill="1" applyBorder="1" applyAlignment="1"/>
    <xf numFmtId="188" fontId="30" fillId="0" borderId="10" xfId="0" applyNumberFormat="1" applyFont="1" applyBorder="1" applyAlignment="1"/>
    <xf numFmtId="188" fontId="17" fillId="0" borderId="10" xfId="0" applyNumberFormat="1" applyFont="1" applyBorder="1" applyAlignment="1">
      <alignment horizontal="right"/>
    </xf>
    <xf numFmtId="187" fontId="17" fillId="2" borderId="10" xfId="0" applyNumberFormat="1" applyFont="1" applyFill="1" applyBorder="1" applyAlignment="1">
      <alignment horizontal="center"/>
    </xf>
    <xf numFmtId="0" fontId="30" fillId="0" borderId="10" xfId="0" applyFont="1" applyBorder="1" applyAlignment="1"/>
    <xf numFmtId="0" fontId="30" fillId="0" borderId="9" xfId="0" applyFont="1" applyBorder="1" applyAlignment="1"/>
    <xf numFmtId="0" fontId="17" fillId="0" borderId="9" xfId="0" quotePrefix="1" applyFont="1" applyBorder="1" applyAlignment="1"/>
    <xf numFmtId="187" fontId="30" fillId="0" borderId="8" xfId="0" applyNumberFormat="1" applyFont="1" applyBorder="1" applyAlignment="1"/>
    <xf numFmtId="187" fontId="24" fillId="21" borderId="14" xfId="0" quotePrefix="1" applyNumberFormat="1" applyFont="1" applyFill="1" applyBorder="1" applyAlignment="1"/>
    <xf numFmtId="187" fontId="40" fillId="2" borderId="14" xfId="0" applyNumberFormat="1" applyFont="1" applyFill="1" applyBorder="1" applyAlignment="1"/>
    <xf numFmtId="188" fontId="30" fillId="21" borderId="15" xfId="0" applyNumberFormat="1" applyFont="1" applyFill="1" applyBorder="1" applyAlignment="1"/>
    <xf numFmtId="189" fontId="30" fillId="21" borderId="15" xfId="0" applyNumberFormat="1" applyFont="1" applyFill="1" applyBorder="1" applyAlignment="1"/>
    <xf numFmtId="187" fontId="18" fillId="21" borderId="15" xfId="0" applyNumberFormat="1" applyFont="1" applyFill="1" applyBorder="1" applyAlignment="1">
      <alignment horizontal="center" wrapText="1"/>
    </xf>
    <xf numFmtId="187" fontId="30" fillId="21" borderId="13" xfId="0" applyNumberFormat="1" applyFont="1" applyFill="1" applyBorder="1" applyAlignment="1"/>
    <xf numFmtId="188" fontId="30" fillId="22" borderId="15" xfId="0" applyNumberFormat="1" applyFont="1" applyFill="1" applyBorder="1" applyAlignment="1"/>
    <xf numFmtId="189" fontId="30" fillId="22" borderId="15" xfId="0" applyNumberFormat="1" applyFont="1" applyFill="1" applyBorder="1" applyAlignment="1"/>
    <xf numFmtId="187" fontId="30" fillId="22" borderId="15" xfId="0" applyNumberFormat="1" applyFont="1" applyFill="1" applyBorder="1" applyAlignment="1"/>
    <xf numFmtId="0" fontId="30" fillId="22" borderId="15" xfId="0" applyFont="1" applyFill="1" applyBorder="1" applyAlignment="1"/>
    <xf numFmtId="0" fontId="30" fillId="22" borderId="14" xfId="0" applyFont="1" applyFill="1" applyBorder="1" applyAlignment="1"/>
    <xf numFmtId="187" fontId="30" fillId="22" borderId="14" xfId="0" applyNumberFormat="1" applyFont="1" applyFill="1" applyBorder="1" applyAlignment="1"/>
    <xf numFmtId="187" fontId="23" fillId="2" borderId="17" xfId="0" applyNumberFormat="1" applyFont="1" applyFill="1" applyBorder="1" applyAlignment="1"/>
    <xf numFmtId="187" fontId="18" fillId="23" borderId="14" xfId="0" applyNumberFormat="1" applyFont="1" applyFill="1" applyBorder="1" applyAlignment="1"/>
    <xf numFmtId="187" fontId="1" fillId="23" borderId="14" xfId="0" applyNumberFormat="1" applyFont="1" applyFill="1" applyBorder="1" applyAlignment="1"/>
    <xf numFmtId="187" fontId="16" fillId="0" borderId="15" xfId="0" applyNumberFormat="1" applyFont="1" applyBorder="1" applyAlignment="1"/>
    <xf numFmtId="188" fontId="23" fillId="34" borderId="15" xfId="0" applyNumberFormat="1" applyFont="1" applyFill="1" applyBorder="1" applyAlignment="1">
      <alignment horizontal="right"/>
    </xf>
    <xf numFmtId="187" fontId="29" fillId="0" borderId="15" xfId="0" applyNumberFormat="1" applyFont="1" applyBorder="1" applyAlignment="1">
      <alignment horizontal="center" wrapText="1"/>
    </xf>
    <xf numFmtId="187" fontId="31" fillId="2" borderId="14" xfId="0" quotePrefix="1" applyNumberFormat="1" applyFont="1" applyFill="1" applyBorder="1" applyAlignment="1"/>
    <xf numFmtId="187" fontId="29" fillId="23" borderId="14" xfId="0" applyNumberFormat="1" applyFont="1" applyFill="1" applyBorder="1" applyAlignment="1"/>
    <xf numFmtId="0" fontId="23" fillId="0" borderId="15" xfId="0" applyFont="1" applyBorder="1" applyAlignment="1"/>
    <xf numFmtId="187" fontId="23" fillId="0" borderId="15" xfId="0" applyNumberFormat="1" applyFont="1" applyBorder="1" applyAlignment="1"/>
    <xf numFmtId="0" fontId="31" fillId="2" borderId="14" xfId="0" quotePrefix="1" applyFont="1" applyFill="1" applyBorder="1" applyAlignment="1"/>
    <xf numFmtId="0" fontId="23" fillId="2" borderId="15" xfId="0" applyFont="1" applyFill="1" applyBorder="1" applyAlignment="1">
      <alignment horizontal="center"/>
    </xf>
    <xf numFmtId="0" fontId="29" fillId="23" borderId="14" xfId="0" applyFont="1" applyFill="1" applyBorder="1" applyAlignment="1"/>
    <xf numFmtId="188" fontId="29" fillId="34" borderId="15" xfId="0" applyNumberFormat="1" applyFont="1" applyFill="1" applyBorder="1" applyAlignment="1">
      <alignment horizontal="right"/>
    </xf>
    <xf numFmtId="188" fontId="29" fillId="21" borderId="15" xfId="0" applyNumberFormat="1" applyFont="1" applyFill="1" applyBorder="1" applyAlignment="1">
      <alignment horizontal="right"/>
    </xf>
    <xf numFmtId="189" fontId="29" fillId="21" borderId="15" xfId="0" applyNumberFormat="1" applyFont="1" applyFill="1" applyBorder="1" applyAlignment="1">
      <alignment horizontal="right"/>
    </xf>
    <xf numFmtId="187" fontId="29" fillId="21" borderId="15" xfId="0" applyNumberFormat="1" applyFont="1" applyFill="1" applyBorder="1" applyAlignment="1">
      <alignment horizontal="center" wrapText="1"/>
    </xf>
    <xf numFmtId="187" fontId="17" fillId="2" borderId="15" xfId="0" applyNumberFormat="1" applyFont="1" applyFill="1" applyBorder="1" applyAlignment="1">
      <alignment horizontal="center" wrapText="1"/>
    </xf>
    <xf numFmtId="187" fontId="29" fillId="22" borderId="13" xfId="0" applyNumberFormat="1" applyFont="1" applyFill="1" applyBorder="1" applyAlignment="1"/>
    <xf numFmtId="188" fontId="30" fillId="7" borderId="10" xfId="0" applyNumberFormat="1" applyFont="1" applyFill="1" applyBorder="1" applyAlignment="1"/>
    <xf numFmtId="188" fontId="30" fillId="7" borderId="9" xfId="0" applyNumberFormat="1" applyFont="1" applyFill="1" applyBorder="1" applyAlignment="1"/>
    <xf numFmtId="189" fontId="30" fillId="7" borderId="9" xfId="0" applyNumberFormat="1" applyFont="1" applyFill="1" applyBorder="1" applyAlignment="1"/>
    <xf numFmtId="187" fontId="30" fillId="7" borderId="9" xfId="0" applyNumberFormat="1" applyFont="1" applyFill="1" applyBorder="1" applyAlignment="1"/>
    <xf numFmtId="0" fontId="30" fillId="7" borderId="9" xfId="0" applyFont="1" applyFill="1" applyBorder="1" applyAlignment="1"/>
    <xf numFmtId="187" fontId="29" fillId="7" borderId="8" xfId="0" applyNumberFormat="1" applyFont="1" applyFill="1" applyBorder="1" applyAlignment="1"/>
    <xf numFmtId="187" fontId="17" fillId="0" borderId="10" xfId="0" applyNumberFormat="1" applyFont="1" applyBorder="1" applyAlignment="1">
      <alignment horizontal="center"/>
    </xf>
    <xf numFmtId="0" fontId="17" fillId="2" borderId="9" xfId="0" applyFont="1" applyFill="1" applyBorder="1" applyAlignment="1"/>
    <xf numFmtId="190" fontId="30" fillId="2" borderId="8" xfId="0" applyNumberFormat="1" applyFont="1" applyFill="1" applyBorder="1" applyAlignment="1"/>
    <xf numFmtId="188" fontId="30" fillId="10" borderId="15" xfId="0" applyNumberFormat="1" applyFont="1" applyFill="1" applyBorder="1" applyAlignment="1"/>
    <xf numFmtId="188" fontId="29" fillId="10" borderId="15" xfId="0" applyNumberFormat="1" applyFont="1" applyFill="1" applyBorder="1" applyAlignment="1">
      <alignment horizontal="right"/>
    </xf>
    <xf numFmtId="189" fontId="29" fillId="10" borderId="15" xfId="0" applyNumberFormat="1" applyFont="1" applyFill="1" applyBorder="1" applyAlignment="1">
      <alignment horizontal="right"/>
    </xf>
    <xf numFmtId="187" fontId="29" fillId="10" borderId="15" xfId="0" applyNumberFormat="1" applyFont="1" applyFill="1" applyBorder="1" applyAlignment="1">
      <alignment horizontal="center"/>
    </xf>
    <xf numFmtId="0" fontId="30" fillId="10" borderId="15" xfId="0" applyFont="1" applyFill="1" applyBorder="1" applyAlignment="1"/>
    <xf numFmtId="0" fontId="30" fillId="10" borderId="14" xfId="0" applyFont="1" applyFill="1" applyBorder="1" applyAlignment="1"/>
    <xf numFmtId="0" fontId="29" fillId="10" borderId="14" xfId="0" applyFont="1" applyFill="1" applyBorder="1" applyAlignment="1"/>
    <xf numFmtId="190" fontId="30" fillId="10" borderId="13" xfId="0" applyNumberFormat="1" applyFont="1" applyFill="1" applyBorder="1" applyAlignment="1"/>
    <xf numFmtId="188" fontId="30" fillId="20" borderId="15" xfId="0" applyNumberFormat="1" applyFont="1" applyFill="1" applyBorder="1" applyAlignment="1"/>
    <xf numFmtId="188" fontId="30" fillId="20" borderId="14" xfId="0" applyNumberFormat="1" applyFont="1" applyFill="1" applyBorder="1" applyAlignment="1"/>
    <xf numFmtId="189" fontId="30" fillId="20" borderId="14" xfId="0" applyNumberFormat="1" applyFont="1" applyFill="1" applyBorder="1" applyAlignment="1"/>
    <xf numFmtId="187" fontId="30" fillId="20" borderId="14" xfId="0" applyNumberFormat="1" applyFont="1" applyFill="1" applyBorder="1" applyAlignment="1"/>
    <xf numFmtId="0" fontId="30" fillId="20" borderId="14" xfId="0" applyFont="1" applyFill="1" applyBorder="1" applyAlignment="1"/>
    <xf numFmtId="190" fontId="30" fillId="20" borderId="14" xfId="0" applyNumberFormat="1" applyFont="1" applyFill="1" applyBorder="1" applyAlignment="1"/>
    <xf numFmtId="187" fontId="29" fillId="20" borderId="13" xfId="0" applyNumberFormat="1" applyFont="1" applyFill="1" applyBorder="1" applyAlignment="1"/>
    <xf numFmtId="190" fontId="30" fillId="2" borderId="14" xfId="0" applyNumberFormat="1" applyFont="1" applyFill="1" applyBorder="1" applyAlignment="1"/>
    <xf numFmtId="187" fontId="29" fillId="10" borderId="15" xfId="0" applyNumberFormat="1" applyFont="1" applyFill="1" applyBorder="1" applyAlignment="1">
      <alignment horizontal="center" wrapText="1"/>
    </xf>
    <xf numFmtId="187" fontId="30" fillId="10" borderId="14" xfId="0" applyNumberFormat="1" applyFont="1" applyFill="1" applyBorder="1" applyAlignment="1"/>
    <xf numFmtId="190" fontId="30" fillId="10" borderId="14" xfId="0" applyNumberFormat="1" applyFont="1" applyFill="1" applyBorder="1" applyAlignment="1"/>
    <xf numFmtId="190" fontId="29" fillId="10" borderId="14" xfId="0" applyNumberFormat="1" applyFont="1" applyFill="1" applyBorder="1" applyAlignment="1"/>
    <xf numFmtId="189" fontId="30" fillId="10" borderId="15" xfId="0" applyNumberFormat="1" applyFont="1" applyFill="1" applyBorder="1" applyAlignment="1"/>
    <xf numFmtId="189" fontId="30" fillId="10" borderId="14" xfId="0" applyNumberFormat="1" applyFont="1" applyFill="1" applyBorder="1" applyAlignment="1"/>
    <xf numFmtId="188" fontId="23" fillId="8" borderId="15" xfId="0" applyNumberFormat="1" applyFont="1" applyFill="1" applyBorder="1" applyAlignment="1">
      <alignment horizontal="right"/>
    </xf>
    <xf numFmtId="187" fontId="23" fillId="8" borderId="15" xfId="0" applyNumberFormat="1" applyFont="1" applyFill="1" applyBorder="1" applyAlignment="1">
      <alignment horizontal="center"/>
    </xf>
    <xf numFmtId="0" fontId="23" fillId="8" borderId="14" xfId="0" applyFont="1" applyFill="1" applyBorder="1" applyAlignment="1"/>
    <xf numFmtId="190" fontId="30" fillId="8" borderId="13" xfId="0" applyNumberFormat="1" applyFont="1" applyFill="1" applyBorder="1" applyAlignment="1"/>
    <xf numFmtId="190" fontId="30" fillId="8" borderId="14" xfId="0" applyNumberFormat="1" applyFont="1" applyFill="1" applyBorder="1" applyAlignment="1"/>
    <xf numFmtId="187" fontId="41" fillId="8" borderId="14" xfId="0" applyNumberFormat="1" applyFont="1" applyFill="1" applyBorder="1" applyAlignment="1"/>
    <xf numFmtId="187" fontId="23" fillId="8" borderId="15" xfId="0" applyNumberFormat="1" applyFont="1" applyFill="1" applyBorder="1" applyAlignment="1">
      <alignment horizontal="center" wrapText="1"/>
    </xf>
    <xf numFmtId="0" fontId="41" fillId="8" borderId="14" xfId="0" applyFont="1" applyFill="1" applyBorder="1" applyAlignment="1"/>
    <xf numFmtId="188" fontId="29" fillId="8" borderId="15" xfId="0" applyNumberFormat="1" applyFont="1" applyFill="1" applyBorder="1" applyAlignment="1">
      <alignment horizontal="right"/>
    </xf>
    <xf numFmtId="187" fontId="29" fillId="8" borderId="15" xfId="0" applyNumberFormat="1" applyFont="1" applyFill="1" applyBorder="1" applyAlignment="1">
      <alignment horizontal="center"/>
    </xf>
    <xf numFmtId="0" fontId="31" fillId="8" borderId="14" xfId="0" applyFont="1" applyFill="1" applyBorder="1" applyAlignment="1"/>
    <xf numFmtId="0" fontId="29" fillId="8" borderId="14" xfId="0" applyFont="1" applyFill="1" applyBorder="1" applyAlignment="1"/>
    <xf numFmtId="189" fontId="23" fillId="8" borderId="15" xfId="0" applyNumberFormat="1" applyFont="1" applyFill="1" applyBorder="1" applyAlignment="1">
      <alignment horizontal="right"/>
    </xf>
    <xf numFmtId="188" fontId="30" fillId="8" borderId="14" xfId="0" applyNumberFormat="1" applyFont="1" applyFill="1" applyBorder="1" applyAlignment="1"/>
    <xf numFmtId="189" fontId="30" fillId="8" borderId="14" xfId="0" applyNumberFormat="1" applyFont="1" applyFill="1" applyBorder="1" applyAlignment="1"/>
    <xf numFmtId="187" fontId="29" fillId="8" borderId="13" xfId="0" applyNumberFormat="1" applyFont="1" applyFill="1" applyBorder="1" applyAlignment="1"/>
    <xf numFmtId="187" fontId="41" fillId="2" borderId="14" xfId="0" applyNumberFormat="1" applyFont="1" applyFill="1" applyBorder="1" applyAlignment="1"/>
    <xf numFmtId="189" fontId="30" fillId="20" borderId="15" xfId="0" applyNumberFormat="1" applyFont="1" applyFill="1" applyBorder="1" applyAlignment="1"/>
    <xf numFmtId="187" fontId="30" fillId="20" borderId="15" xfId="0" applyNumberFormat="1" applyFont="1" applyFill="1" applyBorder="1" applyAlignment="1"/>
    <xf numFmtId="0" fontId="30" fillId="20" borderId="15" xfId="0" applyFont="1" applyFill="1" applyBorder="1" applyAlignment="1"/>
    <xf numFmtId="188" fontId="30" fillId="19" borderId="10" xfId="0" applyNumberFormat="1" applyFont="1" applyFill="1" applyBorder="1" applyAlignment="1"/>
    <xf numFmtId="188" fontId="30" fillId="19" borderId="9" xfId="0" applyNumberFormat="1" applyFont="1" applyFill="1" applyBorder="1" applyAlignment="1"/>
    <xf numFmtId="189" fontId="30" fillId="19" borderId="9" xfId="0" applyNumberFormat="1" applyFont="1" applyFill="1" applyBorder="1" applyAlignment="1"/>
    <xf numFmtId="187" fontId="30" fillId="19" borderId="9" xfId="0" applyNumberFormat="1" applyFont="1" applyFill="1" applyBorder="1" applyAlignment="1"/>
    <xf numFmtId="0" fontId="30" fillId="19" borderId="9" xfId="0" applyFont="1" applyFill="1" applyBorder="1" applyAlignment="1"/>
    <xf numFmtId="187" fontId="29" fillId="19" borderId="8" xfId="0" applyNumberFormat="1" applyFont="1" applyFill="1" applyBorder="1" applyAlignment="1"/>
    <xf numFmtId="187" fontId="23" fillId="2" borderId="10" xfId="0" applyNumberFormat="1" applyFont="1" applyFill="1" applyBorder="1" applyAlignment="1">
      <alignment horizontal="center"/>
    </xf>
    <xf numFmtId="188" fontId="23" fillId="18" borderId="15" xfId="0" applyNumberFormat="1" applyFont="1" applyFill="1" applyBorder="1" applyAlignment="1">
      <alignment horizontal="right"/>
    </xf>
    <xf numFmtId="188" fontId="30" fillId="18" borderId="15" xfId="0" applyNumberFormat="1" applyFont="1" applyFill="1" applyBorder="1" applyAlignment="1"/>
    <xf numFmtId="189" fontId="30" fillId="18" borderId="15" xfId="0" applyNumberFormat="1" applyFont="1" applyFill="1" applyBorder="1" applyAlignment="1"/>
    <xf numFmtId="0" fontId="23" fillId="18" borderId="15" xfId="0" applyFont="1" applyFill="1" applyBorder="1" applyAlignment="1">
      <alignment horizontal="center"/>
    </xf>
    <xf numFmtId="0" fontId="30" fillId="18" borderId="15" xfId="0" applyFont="1" applyFill="1" applyBorder="1" applyAlignment="1"/>
    <xf numFmtId="0" fontId="30" fillId="18" borderId="14" xfId="0" applyFont="1" applyFill="1" applyBorder="1" applyAlignment="1"/>
    <xf numFmtId="0" fontId="23" fillId="18" borderId="14" xfId="0" applyFont="1" applyFill="1" applyBorder="1" applyAlignment="1"/>
    <xf numFmtId="0" fontId="30" fillId="18" borderId="13" xfId="0" applyFont="1" applyFill="1" applyBorder="1" applyAlignment="1"/>
    <xf numFmtId="188" fontId="29" fillId="18" borderId="15" xfId="0" applyNumberFormat="1" applyFont="1" applyFill="1" applyBorder="1" applyAlignment="1">
      <alignment horizontal="right"/>
    </xf>
    <xf numFmtId="0" fontId="29" fillId="18" borderId="15" xfId="0" applyFont="1" applyFill="1" applyBorder="1" applyAlignment="1">
      <alignment horizontal="center"/>
    </xf>
    <xf numFmtId="0" fontId="31" fillId="18" borderId="14" xfId="0" applyFont="1" applyFill="1" applyBorder="1" applyAlignment="1"/>
    <xf numFmtId="0" fontId="29" fillId="18" borderId="14" xfId="0" applyFont="1" applyFill="1" applyBorder="1" applyAlignment="1"/>
    <xf numFmtId="188" fontId="30" fillId="17" borderId="15" xfId="0" applyNumberFormat="1" applyFont="1" applyFill="1" applyBorder="1" applyAlignment="1"/>
    <xf numFmtId="189" fontId="30" fillId="17" borderId="15" xfId="0" applyNumberFormat="1" applyFont="1" applyFill="1" applyBorder="1" applyAlignment="1"/>
    <xf numFmtId="0" fontId="30" fillId="17" borderId="15" xfId="0" applyFont="1" applyFill="1" applyBorder="1" applyAlignment="1"/>
    <xf numFmtId="0" fontId="30" fillId="17" borderId="14" xfId="0" applyFont="1" applyFill="1" applyBorder="1" applyAlignment="1"/>
    <xf numFmtId="0" fontId="29" fillId="17" borderId="14" xfId="0" applyFont="1" applyFill="1" applyBorder="1" applyAlignment="1"/>
    <xf numFmtId="0" fontId="30" fillId="17" borderId="13" xfId="0" applyFont="1" applyFill="1" applyBorder="1" applyAlignment="1"/>
    <xf numFmtId="188" fontId="30" fillId="16" borderId="15" xfId="0" applyNumberFormat="1" applyFont="1" applyFill="1" applyBorder="1" applyAlignment="1"/>
    <xf numFmtId="189" fontId="30" fillId="16" borderId="15" xfId="0" applyNumberFormat="1" applyFont="1" applyFill="1" applyBorder="1" applyAlignment="1"/>
    <xf numFmtId="0" fontId="30" fillId="16" borderId="15" xfId="0" applyFont="1" applyFill="1" applyBorder="1" applyAlignment="1"/>
    <xf numFmtId="0" fontId="29" fillId="16" borderId="14" xfId="0" applyFont="1" applyFill="1" applyBorder="1" applyAlignment="1"/>
    <xf numFmtId="0" fontId="30" fillId="16" borderId="13" xfId="0" applyFont="1" applyFill="1" applyBorder="1" applyAlignment="1"/>
    <xf numFmtId="188" fontId="30" fillId="15" borderId="10" xfId="0" applyNumberFormat="1" applyFont="1" applyFill="1" applyBorder="1" applyAlignment="1"/>
    <xf numFmtId="188" fontId="30" fillId="15" borderId="9" xfId="0" applyNumberFormat="1" applyFont="1" applyFill="1" applyBorder="1" applyAlignment="1"/>
    <xf numFmtId="189" fontId="30" fillId="15" borderId="9" xfId="0" applyNumberFormat="1" applyFont="1" applyFill="1" applyBorder="1" applyAlignment="1"/>
    <xf numFmtId="0" fontId="30" fillId="15" borderId="9" xfId="0" applyFont="1" applyFill="1" applyBorder="1" applyAlignment="1"/>
    <xf numFmtId="0" fontId="29" fillId="15" borderId="8" xfId="0" applyFont="1" applyFill="1" applyBorder="1" applyAlignment="1"/>
    <xf numFmtId="188" fontId="23" fillId="14" borderId="15" xfId="0" applyNumberFormat="1" applyFont="1" applyFill="1" applyBorder="1" applyAlignment="1">
      <alignment horizontal="right"/>
    </xf>
    <xf numFmtId="188" fontId="30" fillId="14" borderId="15" xfId="0" applyNumberFormat="1" applyFont="1" applyFill="1" applyBorder="1" applyAlignment="1"/>
    <xf numFmtId="189" fontId="30" fillId="14" borderId="15" xfId="0" applyNumberFormat="1" applyFont="1" applyFill="1" applyBorder="1" applyAlignment="1"/>
    <xf numFmtId="0" fontId="23" fillId="14" borderId="15" xfId="0" applyFont="1" applyFill="1" applyBorder="1" applyAlignment="1">
      <alignment horizontal="center"/>
    </xf>
    <xf numFmtId="0" fontId="30" fillId="14" borderId="15" xfId="0" applyFont="1" applyFill="1" applyBorder="1" applyAlignment="1"/>
    <xf numFmtId="0" fontId="30" fillId="14" borderId="14" xfId="0" applyFont="1" applyFill="1" applyBorder="1" applyAlignment="1"/>
    <xf numFmtId="0" fontId="23" fillId="14" borderId="14" xfId="0" applyFont="1" applyFill="1" applyBorder="1" applyAlignment="1"/>
    <xf numFmtId="0" fontId="30" fillId="14" borderId="13" xfId="0" applyFont="1" applyFill="1" applyBorder="1" applyAlignment="1"/>
    <xf numFmtId="188" fontId="29" fillId="14" borderId="15" xfId="0" applyNumberFormat="1" applyFont="1" applyFill="1" applyBorder="1" applyAlignment="1">
      <alignment horizontal="right"/>
    </xf>
    <xf numFmtId="0" fontId="29" fillId="14" borderId="15" xfId="0" applyFont="1" applyFill="1" applyBorder="1" applyAlignment="1">
      <alignment horizontal="center"/>
    </xf>
    <xf numFmtId="0" fontId="31" fillId="14" borderId="14" xfId="0" applyFont="1" applyFill="1" applyBorder="1" applyAlignment="1"/>
    <xf numFmtId="0" fontId="29" fillId="14" borderId="14" xfId="0" applyFont="1" applyFill="1" applyBorder="1" applyAlignment="1"/>
    <xf numFmtId="0" fontId="30" fillId="8" borderId="13" xfId="0" applyFont="1" applyFill="1" applyBorder="1" applyAlignment="1"/>
    <xf numFmtId="188" fontId="30" fillId="13" borderId="15" xfId="0" applyNumberFormat="1" applyFont="1" applyFill="1" applyBorder="1" applyAlignment="1"/>
    <xf numFmtId="189" fontId="30" fillId="13" borderId="15" xfId="0" applyNumberFormat="1" applyFont="1" applyFill="1" applyBorder="1" applyAlignment="1"/>
    <xf numFmtId="0" fontId="30" fillId="13" borderId="15" xfId="0" applyFont="1" applyFill="1" applyBorder="1" applyAlignment="1"/>
    <xf numFmtId="0" fontId="30" fillId="13" borderId="14" xfId="0" applyFont="1" applyFill="1" applyBorder="1" applyAlignment="1"/>
    <xf numFmtId="0" fontId="29" fillId="13" borderId="14" xfId="0" applyFont="1" applyFill="1" applyBorder="1" applyAlignment="1"/>
    <xf numFmtId="188" fontId="30" fillId="12" borderId="10" xfId="0" applyNumberFormat="1" applyFont="1" applyFill="1" applyBorder="1" applyAlignment="1"/>
    <xf numFmtId="188" fontId="30" fillId="12" borderId="9" xfId="0" applyNumberFormat="1" applyFont="1" applyFill="1" applyBorder="1" applyAlignment="1"/>
    <xf numFmtId="189" fontId="30" fillId="12" borderId="9" xfId="0" applyNumberFormat="1" applyFont="1" applyFill="1" applyBorder="1" applyAlignment="1"/>
    <xf numFmtId="0" fontId="30" fillId="12" borderId="9" xfId="0" applyFont="1" applyFill="1" applyBorder="1" applyAlignment="1"/>
    <xf numFmtId="0" fontId="29" fillId="12" borderId="8" xfId="0" applyFont="1" applyFill="1" applyBorder="1" applyAlignment="1"/>
    <xf numFmtId="188" fontId="29" fillId="11" borderId="10" xfId="0" applyNumberFormat="1" applyFont="1" applyFill="1" applyBorder="1" applyAlignment="1">
      <alignment horizontal="right"/>
    </xf>
    <xf numFmtId="188" fontId="30" fillId="11" borderId="10" xfId="0" applyNumberFormat="1" applyFont="1" applyFill="1" applyBorder="1" applyAlignment="1"/>
    <xf numFmtId="189" fontId="30" fillId="11" borderId="10" xfId="0" applyNumberFormat="1" applyFont="1" applyFill="1" applyBorder="1" applyAlignment="1"/>
    <xf numFmtId="0" fontId="30" fillId="11" borderId="10" xfId="0" applyFont="1" applyFill="1" applyBorder="1" applyAlignment="1"/>
    <xf numFmtId="0" fontId="30" fillId="11" borderId="9" xfId="0" applyFont="1" applyFill="1" applyBorder="1" applyAlignment="1"/>
    <xf numFmtId="0" fontId="29" fillId="11" borderId="8" xfId="0" applyFont="1" applyFill="1" applyBorder="1" applyAlignment="1"/>
    <xf numFmtId="0" fontId="30" fillId="8" borderId="8" xfId="0" applyFont="1" applyFill="1" applyBorder="1" applyAlignment="1"/>
    <xf numFmtId="0" fontId="30" fillId="8" borderId="8" xfId="0" applyFont="1" applyFill="1" applyBorder="1" applyAlignment="1"/>
    <xf numFmtId="188" fontId="23" fillId="10" borderId="15" xfId="0" applyNumberFormat="1" applyFont="1" applyFill="1" applyBorder="1" applyAlignment="1">
      <alignment horizontal="right"/>
    </xf>
    <xf numFmtId="0" fontId="23" fillId="10" borderId="15" xfId="0" applyFont="1" applyFill="1" applyBorder="1" applyAlignment="1">
      <alignment horizontal="center"/>
    </xf>
    <xf numFmtId="0" fontId="23" fillId="10" borderId="14" xfId="0" applyFont="1" applyFill="1" applyBorder="1" applyAlignment="1"/>
    <xf numFmtId="0" fontId="30" fillId="10" borderId="13" xfId="0" applyFont="1" applyFill="1" applyBorder="1" applyAlignment="1"/>
    <xf numFmtId="0" fontId="29" fillId="10" borderId="15" xfId="0" applyFont="1" applyFill="1" applyBorder="1" applyAlignment="1">
      <alignment horizontal="center"/>
    </xf>
    <xf numFmtId="0" fontId="31" fillId="10" borderId="14" xfId="0" applyFont="1" applyFill="1" applyBorder="1" applyAlignment="1"/>
    <xf numFmtId="188" fontId="30" fillId="9" borderId="10" xfId="0" applyNumberFormat="1" applyFont="1" applyFill="1" applyBorder="1" applyAlignment="1"/>
    <xf numFmtId="189" fontId="30" fillId="9" borderId="10" xfId="0" applyNumberFormat="1" applyFont="1" applyFill="1" applyBorder="1" applyAlignment="1"/>
    <xf numFmtId="0" fontId="30" fillId="9" borderId="10" xfId="0" applyFont="1" applyFill="1" applyBorder="1" applyAlignment="1"/>
    <xf numFmtId="0" fontId="29" fillId="9" borderId="8" xfId="0" applyFont="1" applyFill="1" applyBorder="1" applyAlignment="1"/>
    <xf numFmtId="0" fontId="42" fillId="0" borderId="9" xfId="0" applyFont="1" applyBorder="1"/>
    <xf numFmtId="188" fontId="29" fillId="7" borderId="10" xfId="0" applyNumberFormat="1" applyFont="1" applyFill="1" applyBorder="1" applyAlignment="1">
      <alignment horizontal="center"/>
    </xf>
    <xf numFmtId="188" fontId="29" fillId="5" borderId="10" xfId="0" applyNumberFormat="1" applyFont="1" applyFill="1" applyBorder="1" applyAlignment="1">
      <alignment horizontal="center"/>
    </xf>
    <xf numFmtId="188" fontId="29" fillId="6" borderId="10" xfId="0" applyNumberFormat="1" applyFont="1" applyFill="1" applyBorder="1" applyAlignment="1">
      <alignment horizontal="center"/>
    </xf>
    <xf numFmtId="188" fontId="29" fillId="7" borderId="10" xfId="0" applyNumberFormat="1" applyFont="1" applyFill="1" applyBorder="1" applyAlignment="1">
      <alignment horizontal="center" wrapText="1"/>
    </xf>
    <xf numFmtId="188" fontId="29" fillId="5" borderId="10" xfId="0" applyNumberFormat="1" applyFont="1" applyFill="1" applyBorder="1" applyAlignment="1">
      <alignment horizontal="center" wrapText="1"/>
    </xf>
    <xf numFmtId="188" fontId="29" fillId="4" borderId="10" xfId="0" applyNumberFormat="1" applyFont="1" applyFill="1" applyBorder="1" applyAlignment="1">
      <alignment horizontal="center"/>
    </xf>
    <xf numFmtId="187" fontId="29" fillId="4" borderId="10" xfId="0" applyNumberFormat="1" applyFont="1" applyFill="1" applyBorder="1" applyAlignment="1">
      <alignment horizontal="center" wrapText="1"/>
    </xf>
    <xf numFmtId="0" fontId="29" fillId="3" borderId="10" xfId="0" applyFont="1" applyFill="1" applyBorder="1" applyAlignment="1">
      <alignment horizontal="center"/>
    </xf>
    <xf numFmtId="188" fontId="29" fillId="6" borderId="9" xfId="0" applyNumberFormat="1" applyFont="1" applyFill="1" applyBorder="1" applyAlignment="1">
      <alignment horizontal="center"/>
    </xf>
    <xf numFmtId="188" fontId="29" fillId="5" borderId="9" xfId="0" applyNumberFormat="1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/>
    </xf>
    <xf numFmtId="0" fontId="29" fillId="3" borderId="20" xfId="0" applyFont="1" applyFill="1" applyBorder="1" applyAlignment="1">
      <alignment horizontal="center"/>
    </xf>
    <xf numFmtId="0" fontId="3" fillId="0" borderId="20" xfId="0" applyFont="1" applyBorder="1"/>
    <xf numFmtId="0" fontId="29" fillId="3" borderId="19" xfId="0" applyFont="1" applyFill="1" applyBorder="1" applyAlignment="1">
      <alignment horizontal="center"/>
    </xf>
    <xf numFmtId="188" fontId="30" fillId="2" borderId="9" xfId="0" applyNumberFormat="1" applyFont="1" applyFill="1" applyBorder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89" fontId="23" fillId="2" borderId="15" xfId="0" applyNumberFormat="1" applyFont="1" applyFill="1" applyBorder="1" applyAlignment="1"/>
    <xf numFmtId="188" fontId="43" fillId="23" borderId="15" xfId="0" applyNumberFormat="1" applyFont="1" applyFill="1" applyBorder="1" applyAlignment="1"/>
    <xf numFmtId="0" fontId="43" fillId="23" borderId="15" xfId="0" applyFont="1" applyFill="1" applyBorder="1" applyAlignment="1"/>
    <xf numFmtId="0" fontId="43" fillId="23" borderId="14" xfId="0" applyFont="1" applyFill="1" applyBorder="1" applyAlignment="1"/>
    <xf numFmtId="187" fontId="43" fillId="23" borderId="13" xfId="0" applyNumberFormat="1" applyFont="1" applyFill="1" applyBorder="1" applyAlignment="1"/>
    <xf numFmtId="0" fontId="30" fillId="32" borderId="15" xfId="0" applyFont="1" applyFill="1" applyBorder="1" applyAlignment="1"/>
    <xf numFmtId="0" fontId="29" fillId="30" borderId="15" xfId="0" applyFont="1" applyFill="1" applyBorder="1" applyAlignment="1">
      <alignment horizontal="center" wrapText="1"/>
    </xf>
    <xf numFmtId="0" fontId="29" fillId="27" borderId="15" xfId="0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center"/>
    </xf>
    <xf numFmtId="187" fontId="17" fillId="2" borderId="17" xfId="0" applyNumberFormat="1" applyFont="1" applyFill="1" applyBorder="1" applyAlignment="1"/>
    <xf numFmtId="0" fontId="29" fillId="21" borderId="15" xfId="0" applyFont="1" applyFill="1" applyBorder="1" applyAlignment="1">
      <alignment horizontal="center" wrapText="1"/>
    </xf>
    <xf numFmtId="0" fontId="29" fillId="10" borderId="15" xfId="0" applyFont="1" applyFill="1" applyBorder="1" applyAlignment="1">
      <alignment horizontal="center" wrapText="1"/>
    </xf>
    <xf numFmtId="188" fontId="30" fillId="0" borderId="18" xfId="0" applyNumberFormat="1" applyFont="1" applyBorder="1" applyAlignment="1"/>
    <xf numFmtId="188" fontId="23" fillId="34" borderId="18" xfId="0" applyNumberFormat="1" applyFont="1" applyFill="1" applyBorder="1" applyAlignment="1">
      <alignment horizontal="right"/>
    </xf>
    <xf numFmtId="187" fontId="30" fillId="2" borderId="17" xfId="0" applyNumberFormat="1" applyFont="1" applyFill="1" applyBorder="1" applyAlignment="1"/>
    <xf numFmtId="187" fontId="30" fillId="2" borderId="1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545"/>
  <sheetViews>
    <sheetView view="pageBreakPreview" zoomScale="60" zoomScaleNormal="100" workbookViewId="0">
      <pane xSplit="8" ySplit="6" topLeftCell="I7" activePane="bottomRight" state="frozen"/>
      <selection activeCell="A3" sqref="A3:P3"/>
      <selection pane="topRight" activeCell="A3" sqref="A3:P3"/>
      <selection pane="bottomLeft" activeCell="A3" sqref="A3:P3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1" width="12.5703125" bestFit="1" customWidth="1"/>
    <col min="12" max="14" width="23" bestFit="1" customWidth="1"/>
    <col min="15" max="15" width="20.140625" bestFit="1" customWidth="1"/>
    <col min="16" max="16" width="22" bestFit="1" customWidth="1"/>
  </cols>
  <sheetData>
    <row r="1" spans="1:16" ht="19.5" x14ac:dyDescent="0.3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</row>
    <row r="2" spans="1:16" ht="19.5" x14ac:dyDescent="0.3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</row>
    <row r="3" spans="1:16" ht="19.5" x14ac:dyDescent="0.3">
      <c r="A3" s="501" t="s">
        <v>187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503" t="s">
        <v>2</v>
      </c>
      <c r="B5" s="504"/>
      <c r="C5" s="504"/>
      <c r="D5" s="504"/>
      <c r="E5" s="504"/>
      <c r="F5" s="504"/>
      <c r="G5" s="505"/>
      <c r="H5" s="4" t="s">
        <v>3</v>
      </c>
      <c r="I5" s="507" t="s">
        <v>4</v>
      </c>
      <c r="J5" s="491"/>
      <c r="K5" s="492"/>
      <c r="L5" s="508" t="s">
        <v>5</v>
      </c>
      <c r="M5" s="492"/>
      <c r="N5" s="509" t="s">
        <v>6</v>
      </c>
      <c r="O5" s="491"/>
      <c r="P5" s="492"/>
    </row>
    <row r="6" spans="1:16" ht="19.5" x14ac:dyDescent="0.3">
      <c r="A6" s="506"/>
      <c r="B6" s="494"/>
      <c r="C6" s="494"/>
      <c r="D6" s="494"/>
      <c r="E6" s="494"/>
      <c r="F6" s="494"/>
      <c r="G6" s="495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9.5" hidden="1" x14ac:dyDescent="0.3">
      <c r="A7" s="490"/>
      <c r="B7" s="491"/>
      <c r="C7" s="491"/>
      <c r="D7" s="491"/>
      <c r="E7" s="491"/>
      <c r="F7" s="491"/>
      <c r="G7" s="492"/>
      <c r="H7" s="13"/>
      <c r="I7" s="14"/>
      <c r="J7" s="14"/>
      <c r="K7" s="15"/>
      <c r="L7" s="15"/>
      <c r="M7" s="15"/>
      <c r="N7" s="15"/>
      <c r="O7" s="15"/>
      <c r="P7" s="15"/>
    </row>
    <row r="8" spans="1:16" ht="19.5" hidden="1" x14ac:dyDescent="0.3">
      <c r="A8" s="16"/>
      <c r="B8" s="17"/>
      <c r="C8" s="18"/>
      <c r="D8" s="19"/>
      <c r="E8" s="17"/>
      <c r="F8" s="17"/>
      <c r="G8" s="20"/>
      <c r="H8" s="21"/>
      <c r="I8" s="22"/>
      <c r="J8" s="22"/>
      <c r="K8" s="23"/>
      <c r="L8" s="24"/>
      <c r="M8" s="24"/>
      <c r="N8" s="24"/>
      <c r="O8" s="24"/>
      <c r="P8" s="24"/>
    </row>
    <row r="9" spans="1:16" ht="18.75" hidden="1" x14ac:dyDescent="0.25">
      <c r="A9" s="16"/>
      <c r="B9" s="17"/>
      <c r="C9" s="17"/>
      <c r="D9" s="17"/>
      <c r="E9" s="25"/>
      <c r="F9" s="17"/>
      <c r="G9" s="20"/>
      <c r="H9" s="26"/>
      <c r="I9" s="22"/>
      <c r="J9" s="22"/>
      <c r="K9" s="23"/>
      <c r="L9" s="27"/>
      <c r="M9" s="27"/>
      <c r="N9" s="27"/>
      <c r="O9" s="27"/>
      <c r="P9" s="27"/>
    </row>
    <row r="10" spans="1:16" ht="18.75" hidden="1" x14ac:dyDescent="0.25">
      <c r="A10" s="16"/>
      <c r="B10" s="17"/>
      <c r="C10" s="17"/>
      <c r="D10" s="17"/>
      <c r="E10" s="25"/>
      <c r="F10" s="17"/>
      <c r="G10" s="20"/>
      <c r="H10" s="26"/>
      <c r="I10" s="22"/>
      <c r="J10" s="22"/>
      <c r="K10" s="23"/>
      <c r="L10" s="27"/>
      <c r="M10" s="27"/>
      <c r="N10" s="27"/>
      <c r="O10" s="27"/>
      <c r="P10" s="27"/>
    </row>
    <row r="11" spans="1:16" ht="18.75" hidden="1" x14ac:dyDescent="0.25">
      <c r="A11" s="16"/>
      <c r="B11" s="17"/>
      <c r="C11" s="17"/>
      <c r="D11" s="28"/>
      <c r="E11" s="17"/>
      <c r="F11" s="17"/>
      <c r="G11" s="20"/>
      <c r="H11" s="26"/>
      <c r="I11" s="22"/>
      <c r="J11" s="22"/>
      <c r="K11" s="23"/>
      <c r="L11" s="27"/>
      <c r="M11" s="27"/>
      <c r="N11" s="27"/>
      <c r="O11" s="27"/>
      <c r="P11" s="27"/>
    </row>
    <row r="12" spans="1:16" ht="18.75" hidden="1" x14ac:dyDescent="0.25">
      <c r="A12" s="16"/>
      <c r="B12" s="17"/>
      <c r="C12" s="17"/>
      <c r="D12" s="17"/>
      <c r="E12" s="25"/>
      <c r="F12" s="17"/>
      <c r="G12" s="20"/>
      <c r="H12" s="26"/>
      <c r="I12" s="22"/>
      <c r="J12" s="22"/>
      <c r="K12" s="23"/>
      <c r="L12" s="27"/>
      <c r="M12" s="27"/>
      <c r="N12" s="27"/>
      <c r="O12" s="27"/>
      <c r="P12" s="27"/>
    </row>
    <row r="13" spans="1:16" ht="18.75" hidden="1" x14ac:dyDescent="0.25">
      <c r="A13" s="16"/>
      <c r="B13" s="17"/>
      <c r="C13" s="17"/>
      <c r="D13" s="17"/>
      <c r="E13" s="25"/>
      <c r="F13" s="17"/>
      <c r="G13" s="20"/>
      <c r="H13" s="26"/>
      <c r="I13" s="22"/>
      <c r="J13" s="22"/>
      <c r="K13" s="23"/>
      <c r="L13" s="27"/>
      <c r="M13" s="27"/>
      <c r="N13" s="27"/>
      <c r="O13" s="27"/>
      <c r="P13" s="27"/>
    </row>
    <row r="14" spans="1:16" ht="18.75" hidden="1" x14ac:dyDescent="0.25">
      <c r="A14" s="16"/>
      <c r="B14" s="17"/>
      <c r="C14" s="17"/>
      <c r="D14" s="28"/>
      <c r="E14" s="17"/>
      <c r="F14" s="17"/>
      <c r="G14" s="20"/>
      <c r="H14" s="26"/>
      <c r="I14" s="22"/>
      <c r="J14" s="22"/>
      <c r="K14" s="23"/>
      <c r="L14" s="27"/>
      <c r="M14" s="27"/>
      <c r="N14" s="27"/>
      <c r="O14" s="27"/>
      <c r="P14" s="27"/>
    </row>
    <row r="15" spans="1:16" ht="18.75" hidden="1" x14ac:dyDescent="0.25">
      <c r="A15" s="16"/>
      <c r="B15" s="17"/>
      <c r="C15" s="17"/>
      <c r="D15" s="17"/>
      <c r="E15" s="25"/>
      <c r="F15" s="17"/>
      <c r="G15" s="20"/>
      <c r="H15" s="26"/>
      <c r="I15" s="22"/>
      <c r="J15" s="22"/>
      <c r="K15" s="23"/>
      <c r="L15" s="27"/>
      <c r="M15" s="27"/>
      <c r="N15" s="27"/>
      <c r="O15" s="27"/>
      <c r="P15" s="27"/>
    </row>
    <row r="16" spans="1:16" ht="18.75" hidden="1" x14ac:dyDescent="0.25">
      <c r="A16" s="29"/>
      <c r="B16" s="30"/>
      <c r="C16" s="30"/>
      <c r="D16" s="30"/>
      <c r="E16" s="31"/>
      <c r="F16" s="30"/>
      <c r="G16" s="32"/>
      <c r="H16" s="33"/>
      <c r="I16" s="34"/>
      <c r="J16" s="34"/>
      <c r="K16" s="35"/>
      <c r="L16" s="36"/>
      <c r="M16" s="36"/>
      <c r="N16" s="36"/>
      <c r="O16" s="36"/>
      <c r="P16" s="36"/>
    </row>
    <row r="17" spans="1:16" ht="19.5" x14ac:dyDescent="0.3">
      <c r="A17" s="493" t="s">
        <v>15</v>
      </c>
      <c r="B17" s="494"/>
      <c r="C17" s="494"/>
      <c r="D17" s="494"/>
      <c r="E17" s="494"/>
      <c r="F17" s="494"/>
      <c r="G17" s="495"/>
      <c r="H17" s="37"/>
      <c r="I17" s="38"/>
      <c r="J17" s="38"/>
      <c r="K17" s="39"/>
      <c r="L17" s="39"/>
      <c r="M17" s="39"/>
      <c r="N17" s="39"/>
      <c r="O17" s="39"/>
      <c r="P17" s="39"/>
    </row>
    <row r="18" spans="1:16" ht="19.5" x14ac:dyDescent="0.3">
      <c r="A18" s="40"/>
      <c r="B18" s="41"/>
      <c r="C18" s="42" t="s">
        <v>16</v>
      </c>
      <c r="D18" s="43" t="s">
        <v>17</v>
      </c>
      <c r="E18" s="41"/>
      <c r="F18" s="41"/>
      <c r="G18" s="44"/>
      <c r="H18" s="45" t="s">
        <v>12</v>
      </c>
      <c r="I18" s="46"/>
      <c r="J18" s="46"/>
      <c r="K18" s="47"/>
      <c r="L18" s="48">
        <f t="shared" ref="L18:N18" ca="1" si="0">L19+L20</f>
        <v>34570683</v>
      </c>
      <c r="M18" s="48">
        <f t="shared" ca="1" si="0"/>
        <v>28665369</v>
      </c>
      <c r="N18" s="48">
        <f t="shared" ca="1" si="0"/>
        <v>11650771.899999999</v>
      </c>
      <c r="O18" s="48">
        <f t="shared" ref="O18:O29" ca="1" si="1">IF(L18&gt;0,N18*100/L18,0)</f>
        <v>33.701306682312286</v>
      </c>
      <c r="P18" s="48">
        <f t="shared" ref="P18:P29" ca="1" si="2">IF(M18&gt;0,N18*100/M18,0)</f>
        <v>40.644067411098028</v>
      </c>
    </row>
    <row r="19" spans="1:16" ht="18.75" x14ac:dyDescent="0.25">
      <c r="A19" s="40"/>
      <c r="B19" s="41"/>
      <c r="C19" s="41"/>
      <c r="D19" s="41"/>
      <c r="E19" s="49" t="s">
        <v>18</v>
      </c>
      <c r="F19" s="41"/>
      <c r="G19" s="44"/>
      <c r="H19" s="50" t="s">
        <v>12</v>
      </c>
      <c r="I19" s="46"/>
      <c r="J19" s="46"/>
      <c r="K19" s="47"/>
      <c r="L19" s="51">
        <f t="shared" ref="L19:N19" ca="1" si="3">L22+L25+L28</f>
        <v>0</v>
      </c>
      <c r="M19" s="51">
        <f t="shared" ca="1" si="3"/>
        <v>0</v>
      </c>
      <c r="N19" s="51">
        <f t="shared" ca="1" si="3"/>
        <v>0</v>
      </c>
      <c r="O19" s="51">
        <f t="shared" ca="1" si="1"/>
        <v>0</v>
      </c>
      <c r="P19" s="51">
        <f t="shared" ca="1" si="2"/>
        <v>0</v>
      </c>
    </row>
    <row r="20" spans="1:16" ht="18.75" x14ac:dyDescent="0.25">
      <c r="A20" s="40"/>
      <c r="B20" s="41"/>
      <c r="C20" s="41"/>
      <c r="D20" s="41"/>
      <c r="E20" s="49" t="s">
        <v>19</v>
      </c>
      <c r="F20" s="41"/>
      <c r="G20" s="44"/>
      <c r="H20" s="50" t="s">
        <v>12</v>
      </c>
      <c r="I20" s="46"/>
      <c r="J20" s="46"/>
      <c r="K20" s="47"/>
      <c r="L20" s="51">
        <f t="shared" ref="L20:N20" ca="1" si="4">L23+L26+L29</f>
        <v>34570683</v>
      </c>
      <c r="M20" s="51">
        <f t="shared" ca="1" si="4"/>
        <v>28665369</v>
      </c>
      <c r="N20" s="51">
        <f t="shared" ca="1" si="4"/>
        <v>11650771.899999999</v>
      </c>
      <c r="O20" s="51">
        <f t="shared" ca="1" si="1"/>
        <v>33.701306682312286</v>
      </c>
      <c r="P20" s="51">
        <f t="shared" ca="1" si="2"/>
        <v>40.644067411098028</v>
      </c>
    </row>
    <row r="21" spans="1:16" ht="18.75" x14ac:dyDescent="0.25">
      <c r="A21" s="52"/>
      <c r="B21" s="53"/>
      <c r="C21" s="53"/>
      <c r="D21" s="54" t="s">
        <v>20</v>
      </c>
      <c r="E21" s="53"/>
      <c r="F21" s="53"/>
      <c r="G21" s="55"/>
      <c r="H21" s="56" t="s">
        <v>12</v>
      </c>
      <c r="I21" s="57"/>
      <c r="J21" s="57"/>
      <c r="K21" s="58"/>
      <c r="L21" s="59">
        <f t="shared" ref="L21:N21" ca="1" si="5">L22+L23</f>
        <v>34570683</v>
      </c>
      <c r="M21" s="59">
        <f t="shared" ca="1" si="5"/>
        <v>28665369</v>
      </c>
      <c r="N21" s="59">
        <f t="shared" ca="1" si="5"/>
        <v>11650771.899999999</v>
      </c>
      <c r="O21" s="59">
        <f t="shared" ca="1" si="1"/>
        <v>33.701306682312286</v>
      </c>
      <c r="P21" s="59">
        <f t="shared" ca="1" si="2"/>
        <v>40.644067411098028</v>
      </c>
    </row>
    <row r="22" spans="1:16" ht="18.75" x14ac:dyDescent="0.25">
      <c r="A22" s="52"/>
      <c r="B22" s="53"/>
      <c r="C22" s="53"/>
      <c r="D22" s="53"/>
      <c r="E22" s="60" t="s">
        <v>18</v>
      </c>
      <c r="F22" s="53"/>
      <c r="G22" s="55"/>
      <c r="H22" s="56" t="s">
        <v>12</v>
      </c>
      <c r="I22" s="57"/>
      <c r="J22" s="57"/>
      <c r="K22" s="58"/>
      <c r="L22" s="59">
        <f t="shared" ref="L22:N22" ca="1" si="6">L48+L63+L76+L98+L129+L143+L161+L190+L177+L270+L286+L307+L324+L337+L360+L381</f>
        <v>0</v>
      </c>
      <c r="M22" s="59">
        <f t="shared" ca="1" si="6"/>
        <v>0</v>
      </c>
      <c r="N22" s="59">
        <f t="shared" ca="1" si="6"/>
        <v>0</v>
      </c>
      <c r="O22" s="59">
        <f t="shared" ca="1" si="1"/>
        <v>0</v>
      </c>
      <c r="P22" s="59">
        <f t="shared" ca="1" si="2"/>
        <v>0</v>
      </c>
    </row>
    <row r="23" spans="1:16" ht="18.75" x14ac:dyDescent="0.25">
      <c r="A23" s="52"/>
      <c r="B23" s="53"/>
      <c r="C23" s="53"/>
      <c r="D23" s="53"/>
      <c r="E23" s="60" t="s">
        <v>19</v>
      </c>
      <c r="F23" s="53"/>
      <c r="G23" s="55"/>
      <c r="H23" s="56" t="s">
        <v>12</v>
      </c>
      <c r="I23" s="57"/>
      <c r="J23" s="57"/>
      <c r="K23" s="58"/>
      <c r="L23" s="59">
        <f t="shared" ref="L23:N23" ca="1" si="7">L49+L64+L77+L99+L130+L144+L162+L191+L178+L271+L287+L308+L325+L338+L361+L382</f>
        <v>34570683</v>
      </c>
      <c r="M23" s="59">
        <f t="shared" ca="1" si="7"/>
        <v>28665369</v>
      </c>
      <c r="N23" s="59">
        <f t="shared" ca="1" si="7"/>
        <v>11650771.899999999</v>
      </c>
      <c r="O23" s="59">
        <f t="shared" ca="1" si="1"/>
        <v>33.701306682312286</v>
      </c>
      <c r="P23" s="59">
        <f t="shared" ca="1" si="2"/>
        <v>40.644067411098028</v>
      </c>
    </row>
    <row r="24" spans="1:16" ht="18.75" x14ac:dyDescent="0.25">
      <c r="A24" s="52"/>
      <c r="B24" s="53"/>
      <c r="C24" s="53"/>
      <c r="D24" s="54" t="s">
        <v>21</v>
      </c>
      <c r="E24" s="53"/>
      <c r="F24" s="53"/>
      <c r="G24" s="55"/>
      <c r="H24" s="56" t="s">
        <v>12</v>
      </c>
      <c r="I24" s="57"/>
      <c r="J24" s="57"/>
      <c r="K24" s="58"/>
      <c r="L24" s="61">
        <f t="shared" ref="L24:N24" ca="1" si="8">L25+L26</f>
        <v>0</v>
      </c>
      <c r="M24" s="59">
        <f t="shared" ca="1" si="8"/>
        <v>0</v>
      </c>
      <c r="N24" s="59">
        <f t="shared" ca="1" si="8"/>
        <v>0</v>
      </c>
      <c r="O24" s="59">
        <f t="shared" ca="1" si="1"/>
        <v>0</v>
      </c>
      <c r="P24" s="59">
        <f t="shared" ca="1" si="2"/>
        <v>0</v>
      </c>
    </row>
    <row r="25" spans="1:16" ht="18.75" x14ac:dyDescent="0.25">
      <c r="A25" s="52"/>
      <c r="B25" s="53"/>
      <c r="C25" s="53"/>
      <c r="D25" s="53"/>
      <c r="E25" s="60" t="s">
        <v>18</v>
      </c>
      <c r="F25" s="53"/>
      <c r="G25" s="55"/>
      <c r="H25" s="56" t="s">
        <v>12</v>
      </c>
      <c r="I25" s="57"/>
      <c r="J25" s="57"/>
      <c r="K25" s="58"/>
      <c r="L25" s="59">
        <f t="shared" ref="L25:N25" ca="1" si="9">L51+L66+L79+L101+L132+L146+L164+L193+L180+L273+L289+L310+L327+L340+L363+L384</f>
        <v>0</v>
      </c>
      <c r="M25" s="59">
        <f t="shared" ca="1" si="9"/>
        <v>0</v>
      </c>
      <c r="N25" s="59">
        <f t="shared" ca="1" si="9"/>
        <v>0</v>
      </c>
      <c r="O25" s="59">
        <f t="shared" ca="1" si="1"/>
        <v>0</v>
      </c>
      <c r="P25" s="59">
        <f t="shared" ca="1" si="2"/>
        <v>0</v>
      </c>
    </row>
    <row r="26" spans="1:16" ht="18.75" x14ac:dyDescent="0.25">
      <c r="A26" s="52"/>
      <c r="B26" s="53"/>
      <c r="C26" s="53"/>
      <c r="D26" s="53"/>
      <c r="E26" s="60" t="s">
        <v>19</v>
      </c>
      <c r="F26" s="53"/>
      <c r="G26" s="55"/>
      <c r="H26" s="56" t="s">
        <v>12</v>
      </c>
      <c r="I26" s="57"/>
      <c r="J26" s="57"/>
      <c r="K26" s="58"/>
      <c r="L26" s="59">
        <f t="shared" ref="L26:N26" ca="1" si="10">L52+L67+L80+L102+L133+L147+L165+L194+L181+L274+L290+L311+L328+L341+L364+L385</f>
        <v>0</v>
      </c>
      <c r="M26" s="59">
        <f t="shared" ca="1" si="10"/>
        <v>0</v>
      </c>
      <c r="N26" s="59">
        <f t="shared" ca="1" si="10"/>
        <v>0</v>
      </c>
      <c r="O26" s="59">
        <f t="shared" ca="1" si="1"/>
        <v>0</v>
      </c>
      <c r="P26" s="59">
        <f t="shared" ca="1" si="2"/>
        <v>0</v>
      </c>
    </row>
    <row r="27" spans="1:16" ht="18.75" x14ac:dyDescent="0.25">
      <c r="A27" s="62"/>
      <c r="B27" s="63"/>
      <c r="C27" s="63"/>
      <c r="D27" s="64" t="s">
        <v>22</v>
      </c>
      <c r="E27" s="63"/>
      <c r="F27" s="63"/>
      <c r="G27" s="65"/>
      <c r="H27" s="66" t="s">
        <v>12</v>
      </c>
      <c r="I27" s="67"/>
      <c r="J27" s="67"/>
      <c r="K27" s="68"/>
      <c r="L27" s="69">
        <f t="shared" ref="L27:N27" ca="1" si="11">L28+L29</f>
        <v>0</v>
      </c>
      <c r="M27" s="69">
        <f t="shared" ca="1" si="11"/>
        <v>0</v>
      </c>
      <c r="N27" s="69">
        <f t="shared" ca="1" si="11"/>
        <v>0</v>
      </c>
      <c r="O27" s="69">
        <f t="shared" ca="1" si="1"/>
        <v>0</v>
      </c>
      <c r="P27" s="69">
        <f t="shared" ca="1" si="2"/>
        <v>0</v>
      </c>
    </row>
    <row r="28" spans="1:16" ht="18.75" x14ac:dyDescent="0.25">
      <c r="A28" s="52"/>
      <c r="B28" s="53"/>
      <c r="C28" s="53"/>
      <c r="D28" s="53"/>
      <c r="E28" s="60" t="s">
        <v>18</v>
      </c>
      <c r="F28" s="53"/>
      <c r="G28" s="55"/>
      <c r="H28" s="56" t="s">
        <v>12</v>
      </c>
      <c r="I28" s="57"/>
      <c r="J28" s="57"/>
      <c r="K28" s="58"/>
      <c r="L28" s="59">
        <f t="shared" ref="L28:N28" ca="1" si="12">L54</f>
        <v>0</v>
      </c>
      <c r="M28" s="59">
        <f t="shared" ca="1" si="12"/>
        <v>0</v>
      </c>
      <c r="N28" s="59">
        <f t="shared" ca="1" si="12"/>
        <v>0</v>
      </c>
      <c r="O28" s="59">
        <f t="shared" ca="1" si="1"/>
        <v>0</v>
      </c>
      <c r="P28" s="59">
        <f t="shared" ca="1" si="2"/>
        <v>0</v>
      </c>
    </row>
    <row r="29" spans="1:16" ht="18.75" x14ac:dyDescent="0.25">
      <c r="A29" s="70"/>
      <c r="B29" s="71"/>
      <c r="C29" s="71"/>
      <c r="D29" s="71"/>
      <c r="E29" s="72" t="s">
        <v>19</v>
      </c>
      <c r="F29" s="71"/>
      <c r="G29" s="73"/>
      <c r="H29" s="74" t="s">
        <v>12</v>
      </c>
      <c r="I29" s="75"/>
      <c r="J29" s="75"/>
      <c r="K29" s="76"/>
      <c r="L29" s="77">
        <f t="shared" ref="L29:N29" ca="1" si="13">L55</f>
        <v>0</v>
      </c>
      <c r="M29" s="77">
        <f t="shared" ca="1" si="13"/>
        <v>0</v>
      </c>
      <c r="N29" s="77">
        <f t="shared" ca="1" si="13"/>
        <v>0</v>
      </c>
      <c r="O29" s="77">
        <f t="shared" ca="1" si="1"/>
        <v>0</v>
      </c>
      <c r="P29" s="77">
        <f t="shared" ca="1" si="2"/>
        <v>0</v>
      </c>
    </row>
    <row r="30" spans="1:16" ht="19.5" hidden="1" x14ac:dyDescent="0.3">
      <c r="A30" s="496"/>
      <c r="B30" s="494"/>
      <c r="C30" s="494"/>
      <c r="D30" s="494"/>
      <c r="E30" s="494"/>
      <c r="F30" s="494"/>
      <c r="G30" s="495"/>
      <c r="H30" s="32"/>
      <c r="I30" s="34"/>
      <c r="J30" s="34"/>
      <c r="K30" s="35"/>
      <c r="L30" s="35"/>
      <c r="M30" s="35"/>
      <c r="N30" s="35"/>
      <c r="O30" s="35"/>
      <c r="P30" s="35"/>
    </row>
    <row r="31" spans="1:16" ht="19.5" hidden="1" x14ac:dyDescent="0.3">
      <c r="A31" s="16"/>
      <c r="B31" s="17"/>
      <c r="C31" s="18"/>
      <c r="D31" s="19"/>
      <c r="E31" s="17"/>
      <c r="F31" s="17"/>
      <c r="G31" s="20"/>
      <c r="H31" s="21"/>
      <c r="I31" s="22"/>
      <c r="J31" s="22"/>
      <c r="K31" s="23"/>
      <c r="L31" s="24"/>
      <c r="M31" s="24"/>
      <c r="N31" s="24"/>
      <c r="O31" s="24"/>
      <c r="P31" s="24"/>
    </row>
    <row r="32" spans="1:16" ht="18.75" hidden="1" x14ac:dyDescent="0.25">
      <c r="A32" s="16"/>
      <c r="B32" s="17"/>
      <c r="C32" s="17"/>
      <c r="D32" s="17"/>
      <c r="E32" s="25"/>
      <c r="F32" s="17"/>
      <c r="G32" s="20"/>
      <c r="H32" s="26"/>
      <c r="I32" s="22"/>
      <c r="J32" s="22"/>
      <c r="K32" s="23"/>
      <c r="L32" s="27"/>
      <c r="M32" s="27"/>
      <c r="N32" s="27"/>
      <c r="O32" s="27"/>
      <c r="P32" s="27"/>
    </row>
    <row r="33" spans="1:16" ht="18.75" hidden="1" x14ac:dyDescent="0.25">
      <c r="A33" s="16"/>
      <c r="B33" s="17"/>
      <c r="C33" s="17"/>
      <c r="D33" s="17"/>
      <c r="E33" s="25"/>
      <c r="F33" s="17"/>
      <c r="G33" s="20"/>
      <c r="H33" s="26"/>
      <c r="I33" s="22"/>
      <c r="J33" s="22"/>
      <c r="K33" s="23"/>
      <c r="L33" s="27"/>
      <c r="M33" s="27"/>
      <c r="N33" s="27"/>
      <c r="O33" s="27"/>
      <c r="P33" s="27"/>
    </row>
    <row r="34" spans="1:16" ht="18.75" hidden="1" x14ac:dyDescent="0.25">
      <c r="A34" s="16"/>
      <c r="B34" s="17"/>
      <c r="C34" s="17"/>
      <c r="D34" s="28"/>
      <c r="E34" s="17"/>
      <c r="F34" s="17"/>
      <c r="G34" s="20"/>
      <c r="H34" s="26"/>
      <c r="I34" s="22"/>
      <c r="J34" s="22"/>
      <c r="K34" s="23"/>
      <c r="L34" s="27"/>
      <c r="M34" s="27"/>
      <c r="N34" s="27"/>
      <c r="O34" s="27"/>
      <c r="P34" s="27"/>
    </row>
    <row r="35" spans="1:16" ht="18.75" hidden="1" x14ac:dyDescent="0.25">
      <c r="A35" s="16"/>
      <c r="B35" s="17"/>
      <c r="C35" s="17"/>
      <c r="D35" s="17"/>
      <c r="E35" s="25"/>
      <c r="F35" s="17"/>
      <c r="G35" s="20"/>
      <c r="H35" s="26"/>
      <c r="I35" s="22"/>
      <c r="J35" s="22"/>
      <c r="K35" s="23"/>
      <c r="L35" s="27"/>
      <c r="M35" s="27"/>
      <c r="N35" s="27"/>
      <c r="O35" s="27"/>
      <c r="P35" s="27"/>
    </row>
    <row r="36" spans="1:16" ht="18.75" hidden="1" x14ac:dyDescent="0.25">
      <c r="A36" s="16"/>
      <c r="B36" s="17"/>
      <c r="C36" s="17"/>
      <c r="D36" s="17"/>
      <c r="E36" s="25"/>
      <c r="F36" s="17"/>
      <c r="G36" s="20"/>
      <c r="H36" s="26"/>
      <c r="I36" s="22"/>
      <c r="J36" s="22"/>
      <c r="K36" s="23"/>
      <c r="L36" s="27"/>
      <c r="M36" s="27"/>
      <c r="N36" s="27"/>
      <c r="O36" s="27"/>
      <c r="P36" s="27"/>
    </row>
    <row r="37" spans="1:16" ht="18.75" hidden="1" x14ac:dyDescent="0.25">
      <c r="A37" s="16"/>
      <c r="B37" s="17"/>
      <c r="C37" s="17"/>
      <c r="D37" s="28"/>
      <c r="E37" s="17"/>
      <c r="F37" s="17"/>
      <c r="G37" s="20"/>
      <c r="H37" s="26"/>
      <c r="I37" s="22"/>
      <c r="J37" s="22"/>
      <c r="K37" s="23"/>
      <c r="L37" s="27"/>
      <c r="M37" s="27"/>
      <c r="N37" s="27"/>
      <c r="O37" s="27"/>
      <c r="P37" s="27"/>
    </row>
    <row r="38" spans="1:16" ht="18.75" hidden="1" x14ac:dyDescent="0.25">
      <c r="A38" s="16"/>
      <c r="B38" s="17"/>
      <c r="C38" s="17"/>
      <c r="D38" s="17"/>
      <c r="E38" s="25"/>
      <c r="F38" s="17"/>
      <c r="G38" s="20"/>
      <c r="H38" s="26"/>
      <c r="I38" s="22"/>
      <c r="J38" s="22"/>
      <c r="K38" s="23"/>
      <c r="L38" s="27"/>
      <c r="M38" s="27"/>
      <c r="N38" s="27"/>
      <c r="O38" s="27"/>
      <c r="P38" s="27"/>
    </row>
    <row r="39" spans="1:16" ht="18.75" hidden="1" x14ac:dyDescent="0.25">
      <c r="A39" s="29"/>
      <c r="B39" s="30"/>
      <c r="C39" s="30"/>
      <c r="D39" s="30"/>
      <c r="E39" s="31"/>
      <c r="F39" s="30"/>
      <c r="G39" s="32"/>
      <c r="H39" s="33"/>
      <c r="I39" s="34"/>
      <c r="J39" s="34"/>
      <c r="K39" s="35"/>
      <c r="L39" s="36"/>
      <c r="M39" s="36"/>
      <c r="N39" s="36"/>
      <c r="O39" s="36"/>
      <c r="P39" s="36"/>
    </row>
    <row r="40" spans="1:16" ht="19.5" x14ac:dyDescent="0.3">
      <c r="A40" s="78" t="s">
        <v>23</v>
      </c>
      <c r="B40" s="79"/>
      <c r="C40" s="79"/>
      <c r="D40" s="79"/>
      <c r="E40" s="79"/>
      <c r="F40" s="79"/>
      <c r="G40" s="80"/>
      <c r="H40" s="80"/>
      <c r="I40" s="81"/>
      <c r="J40" s="81"/>
      <c r="K40" s="82"/>
      <c r="L40" s="83">
        <f t="shared" ref="L40:N40" ca="1" si="14">L44+L59+L72+L94+L125+L139+L157+L173+L186+L266+L282+L303+L320+L333+L356</f>
        <v>34570683</v>
      </c>
      <c r="M40" s="83">
        <f t="shared" ca="1" si="14"/>
        <v>28665369</v>
      </c>
      <c r="N40" s="83">
        <f t="shared" ca="1" si="14"/>
        <v>11650771.899999999</v>
      </c>
      <c r="O40" s="83">
        <f ca="1">IF(L40&gt;0,N40*100/L40,0)</f>
        <v>33.701306682312286</v>
      </c>
      <c r="P40" s="83">
        <f ca="1">IF(M40&gt;0,N40*100/M40,0)</f>
        <v>40.644067411098028</v>
      </c>
    </row>
    <row r="41" spans="1:16" ht="19.5" x14ac:dyDescent="0.3">
      <c r="A41" s="84" t="s">
        <v>24</v>
      </c>
      <c r="B41" s="85"/>
      <c r="C41" s="85"/>
      <c r="D41" s="85"/>
      <c r="E41" s="85"/>
      <c r="F41" s="85"/>
      <c r="G41" s="85"/>
      <c r="H41" s="85"/>
      <c r="I41" s="86"/>
      <c r="J41" s="86"/>
      <c r="K41" s="87"/>
      <c r="L41" s="87"/>
      <c r="M41" s="87"/>
      <c r="N41" s="87"/>
      <c r="O41" s="87"/>
      <c r="P41" s="88"/>
    </row>
    <row r="42" spans="1:16" ht="19.5" x14ac:dyDescent="0.3">
      <c r="A42" s="89"/>
      <c r="B42" s="90" t="s">
        <v>25</v>
      </c>
      <c r="C42" s="89"/>
      <c r="D42" s="89"/>
      <c r="E42" s="89"/>
      <c r="F42" s="89"/>
      <c r="G42" s="89"/>
      <c r="H42" s="91"/>
      <c r="I42" s="92"/>
      <c r="J42" s="92"/>
      <c r="K42" s="93"/>
      <c r="L42" s="93"/>
      <c r="M42" s="93"/>
      <c r="N42" s="93"/>
      <c r="O42" s="93"/>
      <c r="P42" s="93"/>
    </row>
    <row r="43" spans="1:16" ht="19.5" hidden="1" x14ac:dyDescent="0.3">
      <c r="A43" s="16"/>
      <c r="B43" s="17"/>
      <c r="C43" s="18"/>
      <c r="D43" s="19"/>
      <c r="E43" s="17"/>
      <c r="F43" s="17"/>
      <c r="G43" s="20"/>
      <c r="H43" s="21"/>
      <c r="I43" s="22"/>
      <c r="J43" s="22"/>
      <c r="K43" s="23"/>
      <c r="L43" s="24"/>
      <c r="M43" s="24"/>
      <c r="N43" s="24"/>
      <c r="O43" s="24"/>
      <c r="P43" s="24"/>
    </row>
    <row r="44" spans="1:16" ht="19.5" x14ac:dyDescent="0.3">
      <c r="A44" s="94"/>
      <c r="B44" s="95"/>
      <c r="C44" s="96" t="s">
        <v>16</v>
      </c>
      <c r="D44" s="97" t="s">
        <v>17</v>
      </c>
      <c r="E44" s="95"/>
      <c r="F44" s="95"/>
      <c r="G44" s="98"/>
      <c r="H44" s="99" t="s">
        <v>12</v>
      </c>
      <c r="I44" s="100"/>
      <c r="J44" s="100"/>
      <c r="K44" s="101"/>
      <c r="L44" s="102">
        <f t="shared" ref="L44:N44" ca="1" si="15">L45+L46</f>
        <v>5596748</v>
      </c>
      <c r="M44" s="102">
        <f t="shared" ca="1" si="15"/>
        <v>5714179</v>
      </c>
      <c r="N44" s="102">
        <f t="shared" ca="1" si="15"/>
        <v>2392306</v>
      </c>
      <c r="O44" s="102">
        <f t="shared" ref="O44:O55" ca="1" si="16">IF(L44&gt;0,N44*100/L44,0)</f>
        <v>42.744572383820035</v>
      </c>
      <c r="P44" s="102">
        <f t="shared" ref="P44:P55" ca="1" si="17">IF(M44&gt;0,N44*100/M44,0)</f>
        <v>41.866136850105676</v>
      </c>
    </row>
    <row r="45" spans="1:16" ht="18.75" x14ac:dyDescent="0.25">
      <c r="A45" s="94"/>
      <c r="B45" s="95"/>
      <c r="C45" s="95"/>
      <c r="D45" s="95"/>
      <c r="E45" s="103" t="s">
        <v>18</v>
      </c>
      <c r="F45" s="95"/>
      <c r="G45" s="98"/>
      <c r="H45" s="104" t="s">
        <v>12</v>
      </c>
      <c r="I45" s="100"/>
      <c r="J45" s="100"/>
      <c r="K45" s="101"/>
      <c r="L45" s="105">
        <f t="shared" ref="L45:N45" ca="1" si="18">L48+L51+L54</f>
        <v>0</v>
      </c>
      <c r="M45" s="105">
        <f t="shared" ca="1" si="18"/>
        <v>0</v>
      </c>
      <c r="N45" s="105">
        <f t="shared" ca="1" si="18"/>
        <v>0</v>
      </c>
      <c r="O45" s="105">
        <f t="shared" ca="1" si="16"/>
        <v>0</v>
      </c>
      <c r="P45" s="105">
        <f t="shared" ca="1" si="17"/>
        <v>0</v>
      </c>
    </row>
    <row r="46" spans="1:16" ht="18.75" x14ac:dyDescent="0.25">
      <c r="A46" s="94"/>
      <c r="B46" s="95"/>
      <c r="C46" s="95"/>
      <c r="D46" s="95"/>
      <c r="E46" s="103" t="s">
        <v>19</v>
      </c>
      <c r="F46" s="95"/>
      <c r="G46" s="98"/>
      <c r="H46" s="104" t="s">
        <v>12</v>
      </c>
      <c r="I46" s="100"/>
      <c r="J46" s="100"/>
      <c r="K46" s="101"/>
      <c r="L46" s="105">
        <f t="shared" ref="L46:N46" ca="1" si="19">L49+L52+L55</f>
        <v>5596748</v>
      </c>
      <c r="M46" s="105">
        <f t="shared" ca="1" si="19"/>
        <v>5714179</v>
      </c>
      <c r="N46" s="105">
        <f t="shared" ca="1" si="19"/>
        <v>2392306</v>
      </c>
      <c r="O46" s="105">
        <f t="shared" ca="1" si="16"/>
        <v>42.744572383820035</v>
      </c>
      <c r="P46" s="105">
        <f t="shared" ca="1" si="17"/>
        <v>41.866136850105676</v>
      </c>
    </row>
    <row r="47" spans="1:16" ht="18.75" x14ac:dyDescent="0.25">
      <c r="A47" s="52"/>
      <c r="B47" s="53"/>
      <c r="C47" s="53"/>
      <c r="D47" s="54" t="s">
        <v>20</v>
      </c>
      <c r="E47" s="53"/>
      <c r="F47" s="53"/>
      <c r="G47" s="55"/>
      <c r="H47" s="56" t="s">
        <v>12</v>
      </c>
      <c r="I47" s="57"/>
      <c r="J47" s="57"/>
      <c r="K47" s="58"/>
      <c r="L47" s="59">
        <f t="shared" ref="L47:N47" ca="1" si="20">L48+L49</f>
        <v>5596748</v>
      </c>
      <c r="M47" s="59">
        <f t="shared" ca="1" si="20"/>
        <v>5714179</v>
      </c>
      <c r="N47" s="59">
        <f t="shared" ca="1" si="20"/>
        <v>2392306</v>
      </c>
      <c r="O47" s="59">
        <f t="shared" ca="1" si="16"/>
        <v>42.744572383820035</v>
      </c>
      <c r="P47" s="59">
        <f t="shared" ca="1" si="17"/>
        <v>41.866136850105676</v>
      </c>
    </row>
    <row r="48" spans="1:16" ht="18.75" x14ac:dyDescent="0.25">
      <c r="A48" s="52"/>
      <c r="B48" s="53"/>
      <c r="C48" s="53"/>
      <c r="D48" s="53"/>
      <c r="E48" s="60" t="s">
        <v>18</v>
      </c>
      <c r="F48" s="53"/>
      <c r="G48" s="55"/>
      <c r="H48" s="56" t="s">
        <v>12</v>
      </c>
      <c r="I48" s="57"/>
      <c r="J48" s="57"/>
      <c r="K48" s="58"/>
      <c r="L48" s="59">
        <f ca="1">IFERROR(__xludf.DUMMYFUNCTION("IMPORTRANGE(""https://docs.google.com/spreadsheets/d/13wPX838HrBrQMCywv1BsuMkt4PEKTChp52zj44s2izQ/edit?usp=sharing"",""กาญจนบุรี!L48"")+IMPORTRANGE(""https://docs.google.com/spreadsheets/d/1ddFKvqj1W1NEiWytbGlB1zMx_ykJDVtmfEQ-6-lIUBA/edit?usp=sharing"","""&amp;"จันทบุรี!L48"")+IMPORTRANGE(""https://docs.google.com/spreadsheets/d/1T1PQvRODqOBZk8BRht_U031fIS1beLA0Ub2CEytj2q0/edit?usp=sharing"",""ฉะเชิงเทรา!L48"")+IMPORTRANGE(""https://docs.google.com/spreadsheets/d/11tr1B-Bhyr79v2bkwVh5h_fR-PStkgjlZtkrZpYurG0/edit"&amp;"?usp=sharing"",""ชลบุรี!L48"")+IMPORTRANGE(""https://docs.google.com/spreadsheets/d/1hh-FVnSX0vozXhGluamEcS54Dw9_zqW0N7qJUWgJ0Sw/edit?usp=sharing"",""ชัยนาท!L48"")+IMPORTRANGE(""https://docs.google.com/spreadsheets/d/1jkqa6GXxSacMcY1eN8AHjMNJ_7dDXMJVRLDla"&amp;"FSOdPM/edit?usp=sharing"",""ตราด!L48"")+IMPORTRANGE(""https://docs.google.com/spreadsheets/d/18hSgUJ3VwClqi_qtULmmW3cLr0oe3OKaSYoKzdpTsYQ/edit?usp=sharing"",""นครนายก!L48"")+IMPORTRANGE(""https://docs.google.com/spreadsheets/d/1YTZo6WM2dQ6Ix6FSdnL5P7uVnVK"&amp;"u40sxZu975tgG10E/edit?usp=sharing"",""นครปฐม!L48"")+IMPORTRANGE(""https://docs.google.com/spreadsheets/d/1OYoGg4WDg5RIzwGeB10padOxJF9E_Vljuvvct_M7RDo/edit?usp=sharing"",""ปทุมธานี!L48"")+IMPORTRANGE(""https://docs.google.com/spreadsheets/d/1GbCIE4D4wk9FUo"&amp;"zzqk7SxfDMxDVBwVmI5zcaVUSzKAc/edit?usp=sharing"",""ประจวบคีรีขันธ์!L48"")+IMPORTRANGE(""https://docs.google.com/spreadsheets/d/1vVf6wykvW_lAyu7Yo9L4hUTqHqIeP_qcVuxCtosJEbg/edit?usp=sharing"",""ปราจีนบุรี!L48"")+IMPORTRANGE(""https://docs.google.com/spread"&amp;"sheets/d/1BIDqLLg5jk3v59G8NlR8rk5xfQDKne0sAvZHSj7TI6I/edit?usp=sharing"",""พระนครศรีอยุธยา!L48"")+IMPORTRANGE(""https://docs.google.com/spreadsheets/d/1YXvxf8Yu6_rV4hTBrwMqAcAnv6DfhUxh5emyM3CJp_w/edit?usp=sharing"",""เพชรบุรี!L48"")+IMPORTRANGE(""https://"&amp;"docs.google.com/spreadsheets/d/19KBlQQs7uwvsao6t2n-KvW3Ax8J8uRRfZPq1zPbXgKc/edit?usp=sharing"",""ระยอง!L48"")+IMPORTRANGE(""https://docs.google.com/spreadsheets/d/1jQ6P4QcrGM89YfqcC_PxOHGCMq5ezhucwJd8ci-NHng/edit?usp=sharing"",""ราชบุรี!L48"")+IMPORTRANGE"&amp;"(""https://docs.google.com/spreadsheets/d/1lufeA2cfFqM-elVq2hznhDzC6Pr7wkJ9ZG_sYNGCMCU/edit?usp=sharing"",""ลพบุรี!L48"")+IMPORTRANGE(""https://docs.google.com/spreadsheets/d/10oOiF7loTyfsTkbd4MpaIm0HQ9SwB7IYHdIUvt-U1Uc/edit?usp=sharing"",""สระแก้ว!L48"")"&amp;"+IMPORTRANGE(""https://docs.google.com/spreadsheets/d/1xmPlrr1QbdSIKvl1dWUl9K4PjAfSL9oeMr_37QVzcxc/edit?usp=sharing"",""สระบุรี!L48"")+IMPORTRANGE(""https://docs.google.com/spreadsheets/d/1j51vR6CYVGhABJpv6tkstgok82RLpXieLzW1yOY5rHw/edit?usp=sharing"",""ส"&amp;"ิงห์บุรี!L48"")+IMPORTRANGE(""https://docs.google.com/spreadsheets/d/1H1EalTWKUSzO4Z1-1CwzoDUaVffgrThEBe2sl74kKG0/edit?usp=sharing"",""สุพรรณบุรี!L48"")+IMPORTRANGE(""https://docs.google.com/spreadsheets/d/1BmIruG_sIrJLYao_Pdr7zVArWsfoBt2692TMi6x_854/edit"&amp;"?usp=sharing"",""อ่างทอง!L48"")"),0)</f>
        <v>0</v>
      </c>
      <c r="M48" s="59">
        <f ca="1">IFERROR(__xludf.DUMMYFUNCTION("IMPORTRANGE(""https://docs.google.com/spreadsheets/d/13wPX838HrBrQMCywv1BsuMkt4PEKTChp52zj44s2izQ/edit?usp=sharing"",""กาญจนบุรี!M48"")+IMPORTRANGE(""https://docs.google.com/spreadsheets/d/1ddFKvqj1W1NEiWytbGlB1zMx_ykJDVtmfEQ-6-lIUBA/edit?usp=sharing"","""&amp;"จันทบุรี!M48"")+IMPORTRANGE(""https://docs.google.com/spreadsheets/d/1T1PQvRODqOBZk8BRht_U031fIS1beLA0Ub2CEytj2q0/edit?usp=sharing"",""ฉะเชิงเทรา!M48"")+IMPORTRANGE(""https://docs.google.com/spreadsheets/d/11tr1B-Bhyr79v2bkwVh5h_fR-PStkgjlZtkrZpYurG0/edit"&amp;"?usp=sharing"",""ชลบุรี!M48"")+IMPORTRANGE(""https://docs.google.com/spreadsheets/d/1hh-FVnSX0vozXhGluamEcS54Dw9_zqW0N7qJUWgJ0Sw/edit?usp=sharing"",""ชัยนาท!M48"")+IMPORTRANGE(""https://docs.google.com/spreadsheets/d/1jkqa6GXxSacMcY1eN8AHjMNJ_7dDXMJVRLDla"&amp;"FSOdPM/edit?usp=sharing"",""ตราด!M48"")+IMPORTRANGE(""https://docs.google.com/spreadsheets/d/18hSgUJ3VwClqi_qtULmmW3cLr0oe3OKaSYoKzdpTsYQ/edit?usp=sharing"",""นครนายก!M48"")+IMPORTRANGE(""https://docs.google.com/spreadsheets/d/1YTZo6WM2dQ6Ix6FSdnL5P7uVnVK"&amp;"u40sxZu975tgG10E/edit?usp=sharing"",""นครปฐม!M48"")+IMPORTRANGE(""https://docs.google.com/spreadsheets/d/1OYoGg4WDg5RIzwGeB10padOxJF9E_Vljuvvct_M7RDo/edit?usp=sharing"",""ปทุมธานี!M48"")+IMPORTRANGE(""https://docs.google.com/spreadsheets/d/1GbCIE4D4wk9FUo"&amp;"zzqk7SxfDMxDVBwVmI5zcaVUSzKAc/edit?usp=sharing"",""ประจวบคีรีขันธ์!M48"")+IMPORTRANGE(""https://docs.google.com/spreadsheets/d/1vVf6wykvW_lAyu7Yo9L4hUTqHqIeP_qcVuxCtosJEbg/edit?usp=sharing"",""ปราจีนบุรี!M48"")+IMPORTRANGE(""https://docs.google.com/spread"&amp;"sheets/d/1BIDqLLg5jk3v59G8NlR8rk5xfQDKne0sAvZHSj7TI6I/edit?usp=sharing"",""พระนครศรีอยุธยา!M48"")+IMPORTRANGE(""https://docs.google.com/spreadsheets/d/1YXvxf8Yu6_rV4hTBrwMqAcAnv6DfhUxh5emyM3CJp_w/edit?usp=sharing"",""เพชรบุรี!M48"")+IMPORTRANGE(""https://"&amp;"docs.google.com/spreadsheets/d/19KBlQQs7uwvsao6t2n-KvW3Ax8J8uRRfZPq1zPbXgKc/edit?usp=sharing"",""ระยอง!M48"")+IMPORTRANGE(""https://docs.google.com/spreadsheets/d/1jQ6P4QcrGM89YfqcC_PxOHGCMq5ezhucwJd8ci-NHng/edit?usp=sharing"",""ราชบุรี!M48"")+IMPORTRANGE"&amp;"(""https://docs.google.com/spreadsheets/d/1lufeA2cfFqM-elVq2hznhDzC6Pr7wkJ9ZG_sYNGCMCU/edit?usp=sharing"",""ลพบุรี!M48"")+IMPORTRANGE(""https://docs.google.com/spreadsheets/d/10oOiF7loTyfsTkbd4MpaIm0HQ9SwB7IYHdIUvt-U1Uc/edit?usp=sharing"",""สระแก้ว!M48"")"&amp;"+IMPORTRANGE(""https://docs.google.com/spreadsheets/d/1xmPlrr1QbdSIKvl1dWUl9K4PjAfSL9oeMr_37QVzcxc/edit?usp=sharing"",""สระบุรี!M48"")+IMPORTRANGE(""https://docs.google.com/spreadsheets/d/1j51vR6CYVGhABJpv6tkstgok82RLpXieLzW1yOY5rHw/edit?usp=sharing"",""ส"&amp;"ิงห์บุรี!M48"")+IMPORTRANGE(""https://docs.google.com/spreadsheets/d/1H1EalTWKUSzO4Z1-1CwzoDUaVffgrThEBe2sl74kKG0/edit?usp=sharing"",""สุพรรณบุรี!M48"")+IMPORTRANGE(""https://docs.google.com/spreadsheets/d/1BmIruG_sIrJLYao_Pdr7zVArWsfoBt2692TMi6x_854/edit"&amp;"?usp=sharing"",""อ่างทอง!M48"")"),0)</f>
        <v>0</v>
      </c>
      <c r="N48" s="59">
        <f ca="1">IFERROR(__xludf.DUMMYFUNCTION("IMPORTRANGE(""https://docs.google.com/spreadsheets/d/13wPX838HrBrQMCywv1BsuMkt4PEKTChp52zj44s2izQ/edit?usp=sharing"",""กาญจนบุรี!N48"")+IMPORTRANGE(""https://docs.google.com/spreadsheets/d/1ddFKvqj1W1NEiWytbGlB1zMx_ykJDVtmfEQ-6-lIUBA/edit?usp=sharing"","""&amp;"จันทบุรี!N48"")+IMPORTRANGE(""https://docs.google.com/spreadsheets/d/1T1PQvRODqOBZk8BRht_U031fIS1beLA0Ub2CEytj2q0/edit?usp=sharing"",""ฉะเชิงเทรา!N48"")+IMPORTRANGE(""https://docs.google.com/spreadsheets/d/11tr1B-Bhyr79v2bkwVh5h_fR-PStkgjlZtkrZpYurG0/edit"&amp;"?usp=sharing"",""ชลบุรี!N48"")+IMPORTRANGE(""https://docs.google.com/spreadsheets/d/1hh-FVnSX0vozXhGluamEcS54Dw9_zqW0N7qJUWgJ0Sw/edit?usp=sharing"",""ชัยนาท!N48"")+IMPORTRANGE(""https://docs.google.com/spreadsheets/d/1jkqa6GXxSacMcY1eN8AHjMNJ_7dDXMJVRLDla"&amp;"FSOdPM/edit?usp=sharing"",""ตราด!N48"")+IMPORTRANGE(""https://docs.google.com/spreadsheets/d/18hSgUJ3VwClqi_qtULmmW3cLr0oe3OKaSYoKzdpTsYQ/edit?usp=sharing"",""นครนายก!N48"")+IMPORTRANGE(""https://docs.google.com/spreadsheets/d/1YTZo6WM2dQ6Ix6FSdnL5P7uVnVK"&amp;"u40sxZu975tgG10E/edit?usp=sharing"",""นครปฐม!N48"")+IMPORTRANGE(""https://docs.google.com/spreadsheets/d/1OYoGg4WDg5RIzwGeB10padOxJF9E_Vljuvvct_M7RDo/edit?usp=sharing"",""ปทุมธานี!N48"")+IMPORTRANGE(""https://docs.google.com/spreadsheets/d/1GbCIE4D4wk9FUo"&amp;"zzqk7SxfDMxDVBwVmI5zcaVUSzKAc/edit?usp=sharing"",""ประจวบคีรีขันธ์!N48"")+IMPORTRANGE(""https://docs.google.com/spreadsheets/d/1vVf6wykvW_lAyu7Yo9L4hUTqHqIeP_qcVuxCtosJEbg/edit?usp=sharing"",""ปราจีนบุรี!N48"")+IMPORTRANGE(""https://docs.google.com/spread"&amp;"sheets/d/1BIDqLLg5jk3v59G8NlR8rk5xfQDKne0sAvZHSj7TI6I/edit?usp=sharing"",""พระนครศรีอยุธยา!N48"")+IMPORTRANGE(""https://docs.google.com/spreadsheets/d/1YXvxf8Yu6_rV4hTBrwMqAcAnv6DfhUxh5emyM3CJp_w/edit?usp=sharing"",""เพชรบุรี!N48"")+IMPORTRANGE(""https://"&amp;"docs.google.com/spreadsheets/d/19KBlQQs7uwvsao6t2n-KvW3Ax8J8uRRfZPq1zPbXgKc/edit?usp=sharing"",""ระยอง!N48"")+IMPORTRANGE(""https://docs.google.com/spreadsheets/d/1jQ6P4QcrGM89YfqcC_PxOHGCMq5ezhucwJd8ci-NHng/edit?usp=sharing"",""ราชบุรี!N48"")+IMPORTRANGE"&amp;"(""https://docs.google.com/spreadsheets/d/1lufeA2cfFqM-elVq2hznhDzC6Pr7wkJ9ZG_sYNGCMCU/edit?usp=sharing"",""ลพบุรี!N48"")+IMPORTRANGE(""https://docs.google.com/spreadsheets/d/10oOiF7loTyfsTkbd4MpaIm0HQ9SwB7IYHdIUvt-U1Uc/edit?usp=sharing"",""สระแก้ว!N48"")"&amp;"+IMPORTRANGE(""https://docs.google.com/spreadsheets/d/1xmPlrr1QbdSIKvl1dWUl9K4PjAfSL9oeMr_37QVzcxc/edit?usp=sharing"",""สระบุรี!N48"")+IMPORTRANGE(""https://docs.google.com/spreadsheets/d/1j51vR6CYVGhABJpv6tkstgok82RLpXieLzW1yOY5rHw/edit?usp=sharing"",""ส"&amp;"ิงห์บุรี!N48"")+IMPORTRANGE(""https://docs.google.com/spreadsheets/d/1H1EalTWKUSzO4Z1-1CwzoDUaVffgrThEBe2sl74kKG0/edit?usp=sharing"",""สุพรรณบุรี!N48"")+IMPORTRANGE(""https://docs.google.com/spreadsheets/d/1BmIruG_sIrJLYao_Pdr7zVArWsfoBt2692TMi6x_854/edit"&amp;"?usp=sharing"",""อ่างทอง!N48"")"),0)</f>
        <v>0</v>
      </c>
      <c r="O48" s="59">
        <f t="shared" ca="1" si="16"/>
        <v>0</v>
      </c>
      <c r="P48" s="59">
        <f t="shared" ca="1" si="17"/>
        <v>0</v>
      </c>
    </row>
    <row r="49" spans="1:16" ht="18.75" x14ac:dyDescent="0.25">
      <c r="A49" s="52"/>
      <c r="B49" s="53"/>
      <c r="C49" s="53"/>
      <c r="D49" s="53"/>
      <c r="E49" s="60" t="s">
        <v>19</v>
      </c>
      <c r="F49" s="53"/>
      <c r="G49" s="55"/>
      <c r="H49" s="56" t="s">
        <v>12</v>
      </c>
      <c r="I49" s="57"/>
      <c r="J49" s="57"/>
      <c r="K49" s="58"/>
      <c r="L49" s="59">
        <f ca="1">IFERROR(__xludf.DUMMYFUNCTION("IMPORTRANGE(""https://docs.google.com/spreadsheets/d/13wPX838HrBrQMCywv1BsuMkt4PEKTChp52zj44s2izQ/edit?usp=sharing"",""กาญจนบุรี!L49"")+IMPORTRANGE(""https://docs.google.com/spreadsheets/d/1ddFKvqj1W1NEiWytbGlB1zMx_ykJDVtmfEQ-6-lIUBA/edit?usp=sharing"","""&amp;"จันทบุรี!L49"")+IMPORTRANGE(""https://docs.google.com/spreadsheets/d/1T1PQvRODqOBZk8BRht_U031fIS1beLA0Ub2CEytj2q0/edit?usp=sharing"",""ฉะเชิงเทรา!L49"")+IMPORTRANGE(""https://docs.google.com/spreadsheets/d/11tr1B-Bhyr79v2bkwVh5h_fR-PStkgjlZtkrZpYurG0/edit"&amp;"?usp=sharing"",""ชลบุรี!L49"")+IMPORTRANGE(""https://docs.google.com/spreadsheets/d/1hh-FVnSX0vozXhGluamEcS54Dw9_zqW0N7qJUWgJ0Sw/edit?usp=sharing"",""ชัยนาท!L49"")+IMPORTRANGE(""https://docs.google.com/spreadsheets/d/1jkqa6GXxSacMcY1eN8AHjMNJ_7dDXMJVRLDla"&amp;"FSOdPM/edit?usp=sharing"",""ตราด!L49"")+IMPORTRANGE(""https://docs.google.com/spreadsheets/d/18hSgUJ3VwClqi_qtULmmW3cLr0oe3OKaSYoKzdpTsYQ/edit?usp=sharing"",""นครนายก!L49"")+IMPORTRANGE(""https://docs.google.com/spreadsheets/d/1YTZo6WM2dQ6Ix6FSdnL5P7uVnVK"&amp;"u40sxZu975tgG10E/edit?usp=sharing"",""นครปฐม!L49"")+IMPORTRANGE(""https://docs.google.com/spreadsheets/d/1OYoGg4WDg5RIzwGeB10padOxJF9E_Vljuvvct_M7RDo/edit?usp=sharing"",""ปทุมธานี!L49"")+IMPORTRANGE(""https://docs.google.com/spreadsheets/d/1GbCIE4D4wk9FUo"&amp;"zzqk7SxfDMxDVBwVmI5zcaVUSzKAc/edit?usp=sharing"",""ประจวบคีรีขันธ์!L49"")+IMPORTRANGE(""https://docs.google.com/spreadsheets/d/1vVf6wykvW_lAyu7Yo9L4hUTqHqIeP_qcVuxCtosJEbg/edit?usp=sharing"",""ปราจีนบุรี!L49"")+IMPORTRANGE(""https://docs.google.com/spread"&amp;"sheets/d/1BIDqLLg5jk3v59G8NlR8rk5xfQDKne0sAvZHSj7TI6I/edit?usp=sharing"",""พระนครศรีอยุธยา!L49"")+IMPORTRANGE(""https://docs.google.com/spreadsheets/d/1YXvxf8Yu6_rV4hTBrwMqAcAnv6DfhUxh5emyM3CJp_w/edit?usp=sharing"",""เพชรบุรี!L49"")+IMPORTRANGE(""https://"&amp;"docs.google.com/spreadsheets/d/19KBlQQs7uwvsao6t2n-KvW3Ax8J8uRRfZPq1zPbXgKc/edit?usp=sharing"",""ระยอง!L49"")+IMPORTRANGE(""https://docs.google.com/spreadsheets/d/1jQ6P4QcrGM89YfqcC_PxOHGCMq5ezhucwJd8ci-NHng/edit?usp=sharing"",""ราชบุรี!L49"")+IMPORTRANGE"&amp;"(""https://docs.google.com/spreadsheets/d/1lufeA2cfFqM-elVq2hznhDzC6Pr7wkJ9ZG_sYNGCMCU/edit?usp=sharing"",""ลพบุรี!L49"")+IMPORTRANGE(""https://docs.google.com/spreadsheets/d/10oOiF7loTyfsTkbd4MpaIm0HQ9SwB7IYHdIUvt-U1Uc/edit?usp=sharing"",""สระแก้ว!L49"")"&amp;"+IMPORTRANGE(""https://docs.google.com/spreadsheets/d/1xmPlrr1QbdSIKvl1dWUl9K4PjAfSL9oeMr_37QVzcxc/edit?usp=sharing"",""สระบุรี!L49"")+IMPORTRANGE(""https://docs.google.com/spreadsheets/d/1j51vR6CYVGhABJpv6tkstgok82RLpXieLzW1yOY5rHw/edit?usp=sharing"",""ส"&amp;"ิงห์บุรี!L49"")+IMPORTRANGE(""https://docs.google.com/spreadsheets/d/1H1EalTWKUSzO4Z1-1CwzoDUaVffgrThEBe2sl74kKG0/edit?usp=sharing"",""สุพรรณบุรี!L49"")+IMPORTRANGE(""https://docs.google.com/spreadsheets/d/1BmIruG_sIrJLYao_Pdr7zVArWsfoBt2692TMi6x_854/edit"&amp;"?usp=sharing"",""อ่างทอง!L49"")"),5596748)</f>
        <v>5596748</v>
      </c>
      <c r="M49" s="59">
        <f ca="1">IFERROR(__xludf.DUMMYFUNCTION("IMPORTRANGE(""https://docs.google.com/spreadsheets/d/13wPX838HrBrQMCywv1BsuMkt4PEKTChp52zj44s2izQ/edit?usp=sharing"",""กาญจนบุรี!M49"")+IMPORTRANGE(""https://docs.google.com/spreadsheets/d/1ddFKvqj1W1NEiWytbGlB1zMx_ykJDVtmfEQ-6-lIUBA/edit?usp=sharing"","""&amp;"จันทบุรี!M49"")+IMPORTRANGE(""https://docs.google.com/spreadsheets/d/1T1PQvRODqOBZk8BRht_U031fIS1beLA0Ub2CEytj2q0/edit?usp=sharing"",""ฉะเชิงเทรา!M49"")+IMPORTRANGE(""https://docs.google.com/spreadsheets/d/11tr1B-Bhyr79v2bkwVh5h_fR-PStkgjlZtkrZpYurG0/edit"&amp;"?usp=sharing"",""ชลบุรี!M49"")+IMPORTRANGE(""https://docs.google.com/spreadsheets/d/1hh-FVnSX0vozXhGluamEcS54Dw9_zqW0N7qJUWgJ0Sw/edit?usp=sharing"",""ชัยนาท!M49"")+IMPORTRANGE(""https://docs.google.com/spreadsheets/d/1jkqa6GXxSacMcY1eN8AHjMNJ_7dDXMJVRLDla"&amp;"FSOdPM/edit?usp=sharing"",""ตราด!M49"")+IMPORTRANGE(""https://docs.google.com/spreadsheets/d/18hSgUJ3VwClqi_qtULmmW3cLr0oe3OKaSYoKzdpTsYQ/edit?usp=sharing"",""นครนายก!M49"")+IMPORTRANGE(""https://docs.google.com/spreadsheets/d/1YTZo6WM2dQ6Ix6FSdnL5P7uVnVK"&amp;"u40sxZu975tgG10E/edit?usp=sharing"",""นครปฐม!M49"")+IMPORTRANGE(""https://docs.google.com/spreadsheets/d/1OYoGg4WDg5RIzwGeB10padOxJF9E_Vljuvvct_M7RDo/edit?usp=sharing"",""ปทุมธานี!M49"")+IMPORTRANGE(""https://docs.google.com/spreadsheets/d/1GbCIE4D4wk9FUo"&amp;"zzqk7SxfDMxDVBwVmI5zcaVUSzKAc/edit?usp=sharing"",""ประจวบคีรีขันธ์!M49"")+IMPORTRANGE(""https://docs.google.com/spreadsheets/d/1vVf6wykvW_lAyu7Yo9L4hUTqHqIeP_qcVuxCtosJEbg/edit?usp=sharing"",""ปราจีนบุรี!M49"")+IMPORTRANGE(""https://docs.google.com/spread"&amp;"sheets/d/1BIDqLLg5jk3v59G8NlR8rk5xfQDKne0sAvZHSj7TI6I/edit?usp=sharing"",""พระนครศรีอยุธยา!M49"")+IMPORTRANGE(""https://docs.google.com/spreadsheets/d/1YXvxf8Yu6_rV4hTBrwMqAcAnv6DfhUxh5emyM3CJp_w/edit?usp=sharing"",""เพชรบุรี!M49"")+IMPORTRANGE(""https://"&amp;"docs.google.com/spreadsheets/d/19KBlQQs7uwvsao6t2n-KvW3Ax8J8uRRfZPq1zPbXgKc/edit?usp=sharing"",""ระยอง!M49"")+IMPORTRANGE(""https://docs.google.com/spreadsheets/d/1jQ6P4QcrGM89YfqcC_PxOHGCMq5ezhucwJd8ci-NHng/edit?usp=sharing"",""ราชบุรี!M49"")+IMPORTRANGE"&amp;"(""https://docs.google.com/spreadsheets/d/1lufeA2cfFqM-elVq2hznhDzC6Pr7wkJ9ZG_sYNGCMCU/edit?usp=sharing"",""ลพบุรี!M49"")+IMPORTRANGE(""https://docs.google.com/spreadsheets/d/10oOiF7loTyfsTkbd4MpaIm0HQ9SwB7IYHdIUvt-U1Uc/edit?usp=sharing"",""สระแก้ว!M49"")"&amp;"+IMPORTRANGE(""https://docs.google.com/spreadsheets/d/1xmPlrr1QbdSIKvl1dWUl9K4PjAfSL9oeMr_37QVzcxc/edit?usp=sharing"",""สระบุรี!M49"")+IMPORTRANGE(""https://docs.google.com/spreadsheets/d/1j51vR6CYVGhABJpv6tkstgok82RLpXieLzW1yOY5rHw/edit?usp=sharing"",""ส"&amp;"ิงห์บุรี!M49"")+IMPORTRANGE(""https://docs.google.com/spreadsheets/d/1H1EalTWKUSzO4Z1-1CwzoDUaVffgrThEBe2sl74kKG0/edit?usp=sharing"",""สุพรรณบุรี!M49"")+IMPORTRANGE(""https://docs.google.com/spreadsheets/d/1BmIruG_sIrJLYao_Pdr7zVArWsfoBt2692TMi6x_854/edit"&amp;"?usp=sharing"",""อ่างทอง!M49"")"),5714179)</f>
        <v>5714179</v>
      </c>
      <c r="N49" s="59">
        <f ca="1">IFERROR(__xludf.DUMMYFUNCTION("IMPORTRANGE(""https://docs.google.com/spreadsheets/d/13wPX838HrBrQMCywv1BsuMkt4PEKTChp52zj44s2izQ/edit?usp=sharing"",""กาญจนบุรี!N49"")+IMPORTRANGE(""https://docs.google.com/spreadsheets/d/1ddFKvqj1W1NEiWytbGlB1zMx_ykJDVtmfEQ-6-lIUBA/edit?usp=sharing"","""&amp;"จันทบุรี!N49"")+IMPORTRANGE(""https://docs.google.com/spreadsheets/d/1T1PQvRODqOBZk8BRht_U031fIS1beLA0Ub2CEytj2q0/edit?usp=sharing"",""ฉะเชิงเทรา!N49"")+IMPORTRANGE(""https://docs.google.com/spreadsheets/d/11tr1B-Bhyr79v2bkwVh5h_fR-PStkgjlZtkrZpYurG0/edit"&amp;"?usp=sharing"",""ชลบุรี!N49"")+IMPORTRANGE(""https://docs.google.com/spreadsheets/d/1hh-FVnSX0vozXhGluamEcS54Dw9_zqW0N7qJUWgJ0Sw/edit?usp=sharing"",""ชัยนาท!N49"")+IMPORTRANGE(""https://docs.google.com/spreadsheets/d/1jkqa6GXxSacMcY1eN8AHjMNJ_7dDXMJVRLDla"&amp;"FSOdPM/edit?usp=sharing"",""ตราด!N49"")+IMPORTRANGE(""https://docs.google.com/spreadsheets/d/18hSgUJ3VwClqi_qtULmmW3cLr0oe3OKaSYoKzdpTsYQ/edit?usp=sharing"",""นครนายก!N49"")+IMPORTRANGE(""https://docs.google.com/spreadsheets/d/1YTZo6WM2dQ6Ix6FSdnL5P7uVnVK"&amp;"u40sxZu975tgG10E/edit?usp=sharing"",""นครปฐม!N49"")+IMPORTRANGE(""https://docs.google.com/spreadsheets/d/1OYoGg4WDg5RIzwGeB10padOxJF9E_Vljuvvct_M7RDo/edit?usp=sharing"",""ปทุมธานี!N49"")+IMPORTRANGE(""https://docs.google.com/spreadsheets/d/1GbCIE4D4wk9FUo"&amp;"zzqk7SxfDMxDVBwVmI5zcaVUSzKAc/edit?usp=sharing"",""ประจวบคีรีขันธ์!N49"")+IMPORTRANGE(""https://docs.google.com/spreadsheets/d/1vVf6wykvW_lAyu7Yo9L4hUTqHqIeP_qcVuxCtosJEbg/edit?usp=sharing"",""ปราจีนบุรี!N49"")+IMPORTRANGE(""https://docs.google.com/spread"&amp;"sheets/d/1BIDqLLg5jk3v59G8NlR8rk5xfQDKne0sAvZHSj7TI6I/edit?usp=sharing"",""พระนครศรีอยุธยา!N49"")+IMPORTRANGE(""https://docs.google.com/spreadsheets/d/1YXvxf8Yu6_rV4hTBrwMqAcAnv6DfhUxh5emyM3CJp_w/edit?usp=sharing"",""เพชรบุรี!N49"")+IMPORTRANGE(""https://"&amp;"docs.google.com/spreadsheets/d/19KBlQQs7uwvsao6t2n-KvW3Ax8J8uRRfZPq1zPbXgKc/edit?usp=sharing"",""ระยอง!N49"")+IMPORTRANGE(""https://docs.google.com/spreadsheets/d/1jQ6P4QcrGM89YfqcC_PxOHGCMq5ezhucwJd8ci-NHng/edit?usp=sharing"",""ราชบุรี!N49"")+IMPORTRANGE"&amp;"(""https://docs.google.com/spreadsheets/d/1lufeA2cfFqM-elVq2hznhDzC6Pr7wkJ9ZG_sYNGCMCU/edit?usp=sharing"",""ลพบุรี!N49"")+IMPORTRANGE(""https://docs.google.com/spreadsheets/d/10oOiF7loTyfsTkbd4MpaIm0HQ9SwB7IYHdIUvt-U1Uc/edit?usp=sharing"",""สระแก้ว!N49"")"&amp;"+IMPORTRANGE(""https://docs.google.com/spreadsheets/d/1xmPlrr1QbdSIKvl1dWUl9K4PjAfSL9oeMr_37QVzcxc/edit?usp=sharing"",""สระบุรี!N49"")+IMPORTRANGE(""https://docs.google.com/spreadsheets/d/1j51vR6CYVGhABJpv6tkstgok82RLpXieLzW1yOY5rHw/edit?usp=sharing"",""ส"&amp;"ิงห์บุรี!N49"")+IMPORTRANGE(""https://docs.google.com/spreadsheets/d/1H1EalTWKUSzO4Z1-1CwzoDUaVffgrThEBe2sl74kKG0/edit?usp=sharing"",""สุพรรณบุรี!N49"")+IMPORTRANGE(""https://docs.google.com/spreadsheets/d/1BmIruG_sIrJLYao_Pdr7zVArWsfoBt2692TMi6x_854/edit"&amp;"?usp=sharing"",""อ่างทอง!N49"")"),2392306)</f>
        <v>2392306</v>
      </c>
      <c r="O49" s="59">
        <f t="shared" ca="1" si="16"/>
        <v>42.744572383820035</v>
      </c>
      <c r="P49" s="59">
        <f t="shared" ca="1" si="17"/>
        <v>41.866136850105676</v>
      </c>
    </row>
    <row r="50" spans="1:16" ht="18.75" x14ac:dyDescent="0.25">
      <c r="A50" s="52"/>
      <c r="B50" s="53"/>
      <c r="C50" s="53"/>
      <c r="D50" s="106" t="s">
        <v>21</v>
      </c>
      <c r="E50" s="53"/>
      <c r="F50" s="53"/>
      <c r="G50" s="55"/>
      <c r="H50" s="56" t="s">
        <v>12</v>
      </c>
      <c r="I50" s="57"/>
      <c r="J50" s="57"/>
      <c r="K50" s="58"/>
      <c r="L50" s="59">
        <f t="shared" ref="L50:N50" ca="1" si="21">L51+L52</f>
        <v>0</v>
      </c>
      <c r="M50" s="59">
        <f t="shared" ca="1" si="21"/>
        <v>0</v>
      </c>
      <c r="N50" s="59">
        <f t="shared" ca="1" si="21"/>
        <v>0</v>
      </c>
      <c r="O50" s="59">
        <f t="shared" ca="1" si="16"/>
        <v>0</v>
      </c>
      <c r="P50" s="59">
        <f t="shared" ca="1" si="17"/>
        <v>0</v>
      </c>
    </row>
    <row r="51" spans="1:16" ht="18.75" x14ac:dyDescent="0.25">
      <c r="A51" s="52"/>
      <c r="B51" s="53"/>
      <c r="C51" s="53"/>
      <c r="D51" s="53"/>
      <c r="E51" s="60" t="s">
        <v>18</v>
      </c>
      <c r="F51" s="53"/>
      <c r="G51" s="55"/>
      <c r="H51" s="56" t="s">
        <v>12</v>
      </c>
      <c r="I51" s="57"/>
      <c r="J51" s="57"/>
      <c r="K51" s="58"/>
      <c r="L51" s="59">
        <f ca="1">IFERROR(__xludf.DUMMYFUNCTION("IMPORTRANGE(""https://docs.google.com/spreadsheets/d/13wPX838HrBrQMCywv1BsuMkt4PEKTChp52zj44s2izQ/edit?usp=sharing"",""กาญจนบุรี!L51"")+IMPORTRANGE(""https://docs.google.com/spreadsheets/d/1ddFKvqj1W1NEiWytbGlB1zMx_ykJDVtmfEQ-6-lIUBA/edit?usp=sharing"","""&amp;"จันทบุรี!L51"")+IMPORTRANGE(""https://docs.google.com/spreadsheets/d/1T1PQvRODqOBZk8BRht_U031fIS1beLA0Ub2CEytj2q0/edit?usp=sharing"",""ฉะเชิงเทรา!L51"")+IMPORTRANGE(""https://docs.google.com/spreadsheets/d/11tr1B-Bhyr79v2bkwVh5h_fR-PStkgjlZtkrZpYurG0/edit"&amp;"?usp=sharing"",""ชลบุรี!L51"")+IMPORTRANGE(""https://docs.google.com/spreadsheets/d/1hh-FVnSX0vozXhGluamEcS54Dw9_zqW0N7qJUWgJ0Sw/edit?usp=sharing"",""ชัยนาท!L51"")+IMPORTRANGE(""https://docs.google.com/spreadsheets/d/1jkqa6GXxSacMcY1eN8AHjMNJ_7dDXMJVRLDla"&amp;"FSOdPM/edit?usp=sharing"",""ตราด!L51"")+IMPORTRANGE(""https://docs.google.com/spreadsheets/d/18hSgUJ3VwClqi_qtULmmW3cLr0oe3OKaSYoKzdpTsYQ/edit?usp=sharing"",""นครนายก!L51"")+IMPORTRANGE(""https://docs.google.com/spreadsheets/d/1YTZo6WM2dQ6Ix6FSdnL5P7uVnVK"&amp;"u40sxZu975tgG10E/edit?usp=sharing"",""นครปฐม!L51"")+IMPORTRANGE(""https://docs.google.com/spreadsheets/d/1OYoGg4WDg5RIzwGeB10padOxJF9E_Vljuvvct_M7RDo/edit?usp=sharing"",""ปทุมธานี!L51"")+IMPORTRANGE(""https://docs.google.com/spreadsheets/d/1GbCIE4D4wk9FUo"&amp;"zzqk7SxfDMxDVBwVmI5zcaVUSzKAc/edit?usp=sharing"",""ประจวบคีรีขันธ์!L51"")+IMPORTRANGE(""https://docs.google.com/spreadsheets/d/1vVf6wykvW_lAyu7Yo9L4hUTqHqIeP_qcVuxCtosJEbg/edit?usp=sharing"",""ปราจีนบุรี!L51"")+IMPORTRANGE(""https://docs.google.com/spread"&amp;"sheets/d/1BIDqLLg5jk3v59G8NlR8rk5xfQDKne0sAvZHSj7TI6I/edit?usp=sharing"",""พระนครศรีอยุธยา!L51"")+IMPORTRANGE(""https://docs.google.com/spreadsheets/d/1YXvxf8Yu6_rV4hTBrwMqAcAnv6DfhUxh5emyM3CJp_w/edit?usp=sharing"",""เพชรบุรี!L51"")+IMPORTRANGE(""https://"&amp;"docs.google.com/spreadsheets/d/19KBlQQs7uwvsao6t2n-KvW3Ax8J8uRRfZPq1zPbXgKc/edit?usp=sharing"",""ระยอง!L51"")+IMPORTRANGE(""https://docs.google.com/spreadsheets/d/1jQ6P4QcrGM89YfqcC_PxOHGCMq5ezhucwJd8ci-NHng/edit?usp=sharing"",""ราชบุรี!L51"")+IMPORTRANGE"&amp;"(""https://docs.google.com/spreadsheets/d/1lufeA2cfFqM-elVq2hznhDzC6Pr7wkJ9ZG_sYNGCMCU/edit?usp=sharing"",""ลพบุรี!L51"")+IMPORTRANGE(""https://docs.google.com/spreadsheets/d/10oOiF7loTyfsTkbd4MpaIm0HQ9SwB7IYHdIUvt-U1Uc/edit?usp=sharing"",""สระแก้ว!L51"")"&amp;"+IMPORTRANGE(""https://docs.google.com/spreadsheets/d/1xmPlrr1QbdSIKvl1dWUl9K4PjAfSL9oeMr_37QVzcxc/edit?usp=sharing"",""สระบุรี!L51"")+IMPORTRANGE(""https://docs.google.com/spreadsheets/d/1j51vR6CYVGhABJpv6tkstgok82RLpXieLzW1yOY5rHw/edit?usp=sharing"",""ส"&amp;"ิงห์บุรี!L51"")+IMPORTRANGE(""https://docs.google.com/spreadsheets/d/1H1EalTWKUSzO4Z1-1CwzoDUaVffgrThEBe2sl74kKG0/edit?usp=sharing"",""สุพรรณบุรี!L51"")+IMPORTRANGE(""https://docs.google.com/spreadsheets/d/1BmIruG_sIrJLYao_Pdr7zVArWsfoBt2692TMi6x_854/edit"&amp;"?usp=sharing"",""อ่างทอง!L51"")"),0)</f>
        <v>0</v>
      </c>
      <c r="M51" s="59">
        <f ca="1">IFERROR(__xludf.DUMMYFUNCTION("IMPORTRANGE(""https://docs.google.com/spreadsheets/d/13wPX838HrBrQMCywv1BsuMkt4PEKTChp52zj44s2izQ/edit?usp=sharing"",""กาญจนบุรี!M51"")+IMPORTRANGE(""https://docs.google.com/spreadsheets/d/1ddFKvqj1W1NEiWytbGlB1zMx_ykJDVtmfEQ-6-lIUBA/edit?usp=sharing"","""&amp;"จันทบุรี!M51"")+IMPORTRANGE(""https://docs.google.com/spreadsheets/d/1T1PQvRODqOBZk8BRht_U031fIS1beLA0Ub2CEytj2q0/edit?usp=sharing"",""ฉะเชิงเทรา!M51"")+IMPORTRANGE(""https://docs.google.com/spreadsheets/d/11tr1B-Bhyr79v2bkwVh5h_fR-PStkgjlZtkrZpYurG0/edit"&amp;"?usp=sharing"",""ชลบุรี!M51"")+IMPORTRANGE(""https://docs.google.com/spreadsheets/d/1hh-FVnSX0vozXhGluamEcS54Dw9_zqW0N7qJUWgJ0Sw/edit?usp=sharing"",""ชัยนาท!M51"")+IMPORTRANGE(""https://docs.google.com/spreadsheets/d/1jkqa6GXxSacMcY1eN8AHjMNJ_7dDXMJVRLDla"&amp;"FSOdPM/edit?usp=sharing"",""ตราด!M51"")+IMPORTRANGE(""https://docs.google.com/spreadsheets/d/18hSgUJ3VwClqi_qtULmmW3cLr0oe3OKaSYoKzdpTsYQ/edit?usp=sharing"",""นครนายก!M51"")+IMPORTRANGE(""https://docs.google.com/spreadsheets/d/1YTZo6WM2dQ6Ix6FSdnL5P7uVnVK"&amp;"u40sxZu975tgG10E/edit?usp=sharing"",""นครปฐม!M51"")+IMPORTRANGE(""https://docs.google.com/spreadsheets/d/1OYoGg4WDg5RIzwGeB10padOxJF9E_Vljuvvct_M7RDo/edit?usp=sharing"",""ปทุมธานี!M51"")+IMPORTRANGE(""https://docs.google.com/spreadsheets/d/1GbCIE4D4wk9FUo"&amp;"zzqk7SxfDMxDVBwVmI5zcaVUSzKAc/edit?usp=sharing"",""ประจวบคีรีขันธ์!M51"")+IMPORTRANGE(""https://docs.google.com/spreadsheets/d/1vVf6wykvW_lAyu7Yo9L4hUTqHqIeP_qcVuxCtosJEbg/edit?usp=sharing"",""ปราจีนบุรี!M51"")+IMPORTRANGE(""https://docs.google.com/spread"&amp;"sheets/d/1BIDqLLg5jk3v59G8NlR8rk5xfQDKne0sAvZHSj7TI6I/edit?usp=sharing"",""พระนครศรีอยุธยา!M51"")+IMPORTRANGE(""https://docs.google.com/spreadsheets/d/1YXvxf8Yu6_rV4hTBrwMqAcAnv6DfhUxh5emyM3CJp_w/edit?usp=sharing"",""เพชรบุรี!M51"")+IMPORTRANGE(""https://"&amp;"docs.google.com/spreadsheets/d/19KBlQQs7uwvsao6t2n-KvW3Ax8J8uRRfZPq1zPbXgKc/edit?usp=sharing"",""ระยอง!M51"")+IMPORTRANGE(""https://docs.google.com/spreadsheets/d/1jQ6P4QcrGM89YfqcC_PxOHGCMq5ezhucwJd8ci-NHng/edit?usp=sharing"",""ราชบุรี!M51"")+IMPORTRANGE"&amp;"(""https://docs.google.com/spreadsheets/d/1lufeA2cfFqM-elVq2hznhDzC6Pr7wkJ9ZG_sYNGCMCU/edit?usp=sharing"",""ลพบุรี!M51"")+IMPORTRANGE(""https://docs.google.com/spreadsheets/d/10oOiF7loTyfsTkbd4MpaIm0HQ9SwB7IYHdIUvt-U1Uc/edit?usp=sharing"",""สระแก้ว!M51"")"&amp;"+IMPORTRANGE(""https://docs.google.com/spreadsheets/d/1xmPlrr1QbdSIKvl1dWUl9K4PjAfSL9oeMr_37QVzcxc/edit?usp=sharing"",""สระบุรี!M51"")+IMPORTRANGE(""https://docs.google.com/spreadsheets/d/1j51vR6CYVGhABJpv6tkstgok82RLpXieLzW1yOY5rHw/edit?usp=sharing"",""ส"&amp;"ิงห์บุรี!M51"")+IMPORTRANGE(""https://docs.google.com/spreadsheets/d/1H1EalTWKUSzO4Z1-1CwzoDUaVffgrThEBe2sl74kKG0/edit?usp=sharing"",""สุพรรณบุรี!M51"")+IMPORTRANGE(""https://docs.google.com/spreadsheets/d/1BmIruG_sIrJLYao_Pdr7zVArWsfoBt2692TMi6x_854/edit"&amp;"?usp=sharing"",""อ่างทอง!M51"")"),0)</f>
        <v>0</v>
      </c>
      <c r="N51" s="59">
        <f ca="1">IFERROR(__xludf.DUMMYFUNCTION("IMPORTRANGE(""https://docs.google.com/spreadsheets/d/13wPX838HrBrQMCywv1BsuMkt4PEKTChp52zj44s2izQ/edit?usp=sharing"",""กาญจนบุรี!N51"")+IMPORTRANGE(""https://docs.google.com/spreadsheets/d/1ddFKvqj1W1NEiWytbGlB1zMx_ykJDVtmfEQ-6-lIUBA/edit?usp=sharing"","""&amp;"จันทบุรี!N51"")+IMPORTRANGE(""https://docs.google.com/spreadsheets/d/1T1PQvRODqOBZk8BRht_U031fIS1beLA0Ub2CEytj2q0/edit?usp=sharing"",""ฉะเชิงเทรา!N51"")+IMPORTRANGE(""https://docs.google.com/spreadsheets/d/11tr1B-Bhyr79v2bkwVh5h_fR-PStkgjlZtkrZpYurG0/edit"&amp;"?usp=sharing"",""ชลบุรี!N51"")+IMPORTRANGE(""https://docs.google.com/spreadsheets/d/1hh-FVnSX0vozXhGluamEcS54Dw9_zqW0N7qJUWgJ0Sw/edit?usp=sharing"",""ชัยนาท!N51"")+IMPORTRANGE(""https://docs.google.com/spreadsheets/d/1jkqa6GXxSacMcY1eN8AHjMNJ_7dDXMJVRLDla"&amp;"FSOdPM/edit?usp=sharing"",""ตราด!N51"")+IMPORTRANGE(""https://docs.google.com/spreadsheets/d/18hSgUJ3VwClqi_qtULmmW3cLr0oe3OKaSYoKzdpTsYQ/edit?usp=sharing"",""นครนายก!N51"")+IMPORTRANGE(""https://docs.google.com/spreadsheets/d/1YTZo6WM2dQ6Ix6FSdnL5P7uVnVK"&amp;"u40sxZu975tgG10E/edit?usp=sharing"",""นครปฐม!N51"")+IMPORTRANGE(""https://docs.google.com/spreadsheets/d/1OYoGg4WDg5RIzwGeB10padOxJF9E_Vljuvvct_M7RDo/edit?usp=sharing"",""ปทุมธานี!N51"")+IMPORTRANGE(""https://docs.google.com/spreadsheets/d/1GbCIE4D4wk9FUo"&amp;"zzqk7SxfDMxDVBwVmI5zcaVUSzKAc/edit?usp=sharing"",""ประจวบคีรีขันธ์!N51"")+IMPORTRANGE(""https://docs.google.com/spreadsheets/d/1vVf6wykvW_lAyu7Yo9L4hUTqHqIeP_qcVuxCtosJEbg/edit?usp=sharing"",""ปราจีนบุรี!N51"")+IMPORTRANGE(""https://docs.google.com/spread"&amp;"sheets/d/1BIDqLLg5jk3v59G8NlR8rk5xfQDKne0sAvZHSj7TI6I/edit?usp=sharing"",""พระนครศรีอยุธยา!N51"")+IMPORTRANGE(""https://docs.google.com/spreadsheets/d/1YXvxf8Yu6_rV4hTBrwMqAcAnv6DfhUxh5emyM3CJp_w/edit?usp=sharing"",""เพชรบุรี!N51"")+IMPORTRANGE(""https://"&amp;"docs.google.com/spreadsheets/d/19KBlQQs7uwvsao6t2n-KvW3Ax8J8uRRfZPq1zPbXgKc/edit?usp=sharing"",""ระยอง!N51"")+IMPORTRANGE(""https://docs.google.com/spreadsheets/d/1jQ6P4QcrGM89YfqcC_PxOHGCMq5ezhucwJd8ci-NHng/edit?usp=sharing"",""ราชบุรี!N51"")+IMPORTRANGE"&amp;"(""https://docs.google.com/spreadsheets/d/1lufeA2cfFqM-elVq2hznhDzC6Pr7wkJ9ZG_sYNGCMCU/edit?usp=sharing"",""ลพบุรี!N51"")+IMPORTRANGE(""https://docs.google.com/spreadsheets/d/10oOiF7loTyfsTkbd4MpaIm0HQ9SwB7IYHdIUvt-U1Uc/edit?usp=sharing"",""สระแก้ว!N51"")"&amp;"+IMPORTRANGE(""https://docs.google.com/spreadsheets/d/1xmPlrr1QbdSIKvl1dWUl9K4PjAfSL9oeMr_37QVzcxc/edit?usp=sharing"",""สระบุรี!N51"")+IMPORTRANGE(""https://docs.google.com/spreadsheets/d/1j51vR6CYVGhABJpv6tkstgok82RLpXieLzW1yOY5rHw/edit?usp=sharing"",""ส"&amp;"ิงห์บุรี!N51"")+IMPORTRANGE(""https://docs.google.com/spreadsheets/d/1H1EalTWKUSzO4Z1-1CwzoDUaVffgrThEBe2sl74kKG0/edit?usp=sharing"",""สุพรรณบุรี!N51"")+IMPORTRANGE(""https://docs.google.com/spreadsheets/d/1BmIruG_sIrJLYao_Pdr7zVArWsfoBt2692TMi6x_854/edit"&amp;"?usp=sharing"",""อ่างทอง!N51"")"),0)</f>
        <v>0</v>
      </c>
      <c r="O51" s="59">
        <f t="shared" ca="1" si="16"/>
        <v>0</v>
      </c>
      <c r="P51" s="59">
        <f t="shared" ca="1" si="17"/>
        <v>0</v>
      </c>
    </row>
    <row r="52" spans="1:16" ht="18.75" x14ac:dyDescent="0.25">
      <c r="A52" s="52"/>
      <c r="B52" s="53"/>
      <c r="C52" s="53"/>
      <c r="D52" s="53"/>
      <c r="E52" s="60" t="s">
        <v>19</v>
      </c>
      <c r="F52" s="53"/>
      <c r="G52" s="55"/>
      <c r="H52" s="56" t="s">
        <v>12</v>
      </c>
      <c r="I52" s="57"/>
      <c r="J52" s="57"/>
      <c r="K52" s="58"/>
      <c r="L52" s="59">
        <f ca="1">IFERROR(__xludf.DUMMYFUNCTION("IMPORTRANGE(""https://docs.google.com/spreadsheets/d/13wPX838HrBrQMCywv1BsuMkt4PEKTChp52zj44s2izQ/edit?usp=sharing"",""กาญจนบุรี!L52"")+IMPORTRANGE(""https://docs.google.com/spreadsheets/d/1ddFKvqj1W1NEiWytbGlB1zMx_ykJDVtmfEQ-6-lIUBA/edit?usp=sharing"","""&amp;"จันทบุรี!L52"")+IMPORTRANGE(""https://docs.google.com/spreadsheets/d/1T1PQvRODqOBZk8BRht_U031fIS1beLA0Ub2CEytj2q0/edit?usp=sharing"",""ฉะเชิงเทรา!L52"")+IMPORTRANGE(""https://docs.google.com/spreadsheets/d/11tr1B-Bhyr79v2bkwVh5h_fR-PStkgjlZtkrZpYurG0/edit"&amp;"?usp=sharing"",""ชลบุรี!L52"")+IMPORTRANGE(""https://docs.google.com/spreadsheets/d/1hh-FVnSX0vozXhGluamEcS54Dw9_zqW0N7qJUWgJ0Sw/edit?usp=sharing"",""ชัยนาท!L52"")+IMPORTRANGE(""https://docs.google.com/spreadsheets/d/1jkqa6GXxSacMcY1eN8AHjMNJ_7dDXMJVRLDla"&amp;"FSOdPM/edit?usp=sharing"",""ตราด!L52"")+IMPORTRANGE(""https://docs.google.com/spreadsheets/d/18hSgUJ3VwClqi_qtULmmW3cLr0oe3OKaSYoKzdpTsYQ/edit?usp=sharing"",""นครนายก!L52"")+IMPORTRANGE(""https://docs.google.com/spreadsheets/d/1YTZo6WM2dQ6Ix6FSdnL5P7uVnVK"&amp;"u40sxZu975tgG10E/edit?usp=sharing"",""นครปฐม!L52"")+IMPORTRANGE(""https://docs.google.com/spreadsheets/d/1OYoGg4WDg5RIzwGeB10padOxJF9E_Vljuvvct_M7RDo/edit?usp=sharing"",""ปทุมธานี!L52"")+IMPORTRANGE(""https://docs.google.com/spreadsheets/d/1GbCIE4D4wk9FUo"&amp;"zzqk7SxfDMxDVBwVmI5zcaVUSzKAc/edit?usp=sharing"",""ประจวบคีรีขันธ์!L52"")+IMPORTRANGE(""https://docs.google.com/spreadsheets/d/1vVf6wykvW_lAyu7Yo9L4hUTqHqIeP_qcVuxCtosJEbg/edit?usp=sharing"",""ปราจีนบุรี!L52"")+IMPORTRANGE(""https://docs.google.com/spread"&amp;"sheets/d/1BIDqLLg5jk3v59G8NlR8rk5xfQDKne0sAvZHSj7TI6I/edit?usp=sharing"",""พระนครศรีอยุธยา!L52"")+IMPORTRANGE(""https://docs.google.com/spreadsheets/d/1YXvxf8Yu6_rV4hTBrwMqAcAnv6DfhUxh5emyM3CJp_w/edit?usp=sharing"",""เพชรบุรี!L52"")+IMPORTRANGE(""https://"&amp;"docs.google.com/spreadsheets/d/19KBlQQs7uwvsao6t2n-KvW3Ax8J8uRRfZPq1zPbXgKc/edit?usp=sharing"",""ระยอง!L52"")+IMPORTRANGE(""https://docs.google.com/spreadsheets/d/1jQ6P4QcrGM89YfqcC_PxOHGCMq5ezhucwJd8ci-NHng/edit?usp=sharing"",""ราชบุรี!L52"")+IMPORTRANGE"&amp;"(""https://docs.google.com/spreadsheets/d/1lufeA2cfFqM-elVq2hznhDzC6Pr7wkJ9ZG_sYNGCMCU/edit?usp=sharing"",""ลพบุรี!L52"")+IMPORTRANGE(""https://docs.google.com/spreadsheets/d/10oOiF7loTyfsTkbd4MpaIm0HQ9SwB7IYHdIUvt-U1Uc/edit?usp=sharing"",""สระแก้ว!L52"")"&amp;"+IMPORTRANGE(""https://docs.google.com/spreadsheets/d/1xmPlrr1QbdSIKvl1dWUl9K4PjAfSL9oeMr_37QVzcxc/edit?usp=sharing"",""สระบุรี!L52"")+IMPORTRANGE(""https://docs.google.com/spreadsheets/d/1j51vR6CYVGhABJpv6tkstgok82RLpXieLzW1yOY5rHw/edit?usp=sharing"",""ส"&amp;"ิงห์บุรี!L52"")+IMPORTRANGE(""https://docs.google.com/spreadsheets/d/1H1EalTWKUSzO4Z1-1CwzoDUaVffgrThEBe2sl74kKG0/edit?usp=sharing"",""สุพรรณบุรี!L52"")+IMPORTRANGE(""https://docs.google.com/spreadsheets/d/1BmIruG_sIrJLYao_Pdr7zVArWsfoBt2692TMi6x_854/edit"&amp;"?usp=sharing"",""อ่างทอง!L52"")"),0)</f>
        <v>0</v>
      </c>
      <c r="M52" s="59">
        <f ca="1">IFERROR(__xludf.DUMMYFUNCTION("IMPORTRANGE(""https://docs.google.com/spreadsheets/d/13wPX838HrBrQMCywv1BsuMkt4PEKTChp52zj44s2izQ/edit?usp=sharing"",""กาญจนบุรี!M52"")+IMPORTRANGE(""https://docs.google.com/spreadsheets/d/1ddFKvqj1W1NEiWytbGlB1zMx_ykJDVtmfEQ-6-lIUBA/edit?usp=sharing"","""&amp;"จันทบุรี!M52"")+IMPORTRANGE(""https://docs.google.com/spreadsheets/d/1T1PQvRODqOBZk8BRht_U031fIS1beLA0Ub2CEytj2q0/edit?usp=sharing"",""ฉะเชิงเทรา!M52"")+IMPORTRANGE(""https://docs.google.com/spreadsheets/d/11tr1B-Bhyr79v2bkwVh5h_fR-PStkgjlZtkrZpYurG0/edit"&amp;"?usp=sharing"",""ชลบุรี!M52"")+IMPORTRANGE(""https://docs.google.com/spreadsheets/d/1hh-FVnSX0vozXhGluamEcS54Dw9_zqW0N7qJUWgJ0Sw/edit?usp=sharing"",""ชัยนาท!M52"")+IMPORTRANGE(""https://docs.google.com/spreadsheets/d/1jkqa6GXxSacMcY1eN8AHjMNJ_7dDXMJVRLDla"&amp;"FSOdPM/edit?usp=sharing"",""ตราด!M52"")+IMPORTRANGE(""https://docs.google.com/spreadsheets/d/18hSgUJ3VwClqi_qtULmmW3cLr0oe3OKaSYoKzdpTsYQ/edit?usp=sharing"",""นครนายก!M52"")+IMPORTRANGE(""https://docs.google.com/spreadsheets/d/1YTZo6WM2dQ6Ix6FSdnL5P7uVnVK"&amp;"u40sxZu975tgG10E/edit?usp=sharing"",""นครปฐม!M52"")+IMPORTRANGE(""https://docs.google.com/spreadsheets/d/1OYoGg4WDg5RIzwGeB10padOxJF9E_Vljuvvct_M7RDo/edit?usp=sharing"",""ปทุมธานี!M52"")+IMPORTRANGE(""https://docs.google.com/spreadsheets/d/1GbCIE4D4wk9FUo"&amp;"zzqk7SxfDMxDVBwVmI5zcaVUSzKAc/edit?usp=sharing"",""ประจวบคีรีขันธ์!M52"")+IMPORTRANGE(""https://docs.google.com/spreadsheets/d/1vVf6wykvW_lAyu7Yo9L4hUTqHqIeP_qcVuxCtosJEbg/edit?usp=sharing"",""ปราจีนบุรี!M52"")+IMPORTRANGE(""https://docs.google.com/spread"&amp;"sheets/d/1BIDqLLg5jk3v59G8NlR8rk5xfQDKne0sAvZHSj7TI6I/edit?usp=sharing"",""พระนครศรีอยุธยา!M52"")+IMPORTRANGE(""https://docs.google.com/spreadsheets/d/1YXvxf8Yu6_rV4hTBrwMqAcAnv6DfhUxh5emyM3CJp_w/edit?usp=sharing"",""เพชรบุรี!M52"")+IMPORTRANGE(""https://"&amp;"docs.google.com/spreadsheets/d/19KBlQQs7uwvsao6t2n-KvW3Ax8J8uRRfZPq1zPbXgKc/edit?usp=sharing"",""ระยอง!M52"")+IMPORTRANGE(""https://docs.google.com/spreadsheets/d/1jQ6P4QcrGM89YfqcC_PxOHGCMq5ezhucwJd8ci-NHng/edit?usp=sharing"",""ราชบุรี!M52"")+IMPORTRANGE"&amp;"(""https://docs.google.com/spreadsheets/d/1lufeA2cfFqM-elVq2hznhDzC6Pr7wkJ9ZG_sYNGCMCU/edit?usp=sharing"",""ลพบุรี!M52"")+IMPORTRANGE(""https://docs.google.com/spreadsheets/d/10oOiF7loTyfsTkbd4MpaIm0HQ9SwB7IYHdIUvt-U1Uc/edit?usp=sharing"",""สระแก้ว!M52"")"&amp;"+IMPORTRANGE(""https://docs.google.com/spreadsheets/d/1xmPlrr1QbdSIKvl1dWUl9K4PjAfSL9oeMr_37QVzcxc/edit?usp=sharing"",""สระบุรี!M52"")+IMPORTRANGE(""https://docs.google.com/spreadsheets/d/1j51vR6CYVGhABJpv6tkstgok82RLpXieLzW1yOY5rHw/edit?usp=sharing"",""ส"&amp;"ิงห์บุรี!M52"")+IMPORTRANGE(""https://docs.google.com/spreadsheets/d/1H1EalTWKUSzO4Z1-1CwzoDUaVffgrThEBe2sl74kKG0/edit?usp=sharing"",""สุพรรณบุรี!M52"")+IMPORTRANGE(""https://docs.google.com/spreadsheets/d/1BmIruG_sIrJLYao_Pdr7zVArWsfoBt2692TMi6x_854/edit"&amp;"?usp=sharing"",""อ่างทอง!M52"")"),0)</f>
        <v>0</v>
      </c>
      <c r="N52" s="59">
        <f ca="1">IFERROR(__xludf.DUMMYFUNCTION("IMPORTRANGE(""https://docs.google.com/spreadsheets/d/13wPX838HrBrQMCywv1BsuMkt4PEKTChp52zj44s2izQ/edit?usp=sharing"",""กาญจนบุรี!N52"")+IMPORTRANGE(""https://docs.google.com/spreadsheets/d/1ddFKvqj1W1NEiWytbGlB1zMx_ykJDVtmfEQ-6-lIUBA/edit?usp=sharing"","""&amp;"จันทบุรี!N52"")+IMPORTRANGE(""https://docs.google.com/spreadsheets/d/1T1PQvRODqOBZk8BRht_U031fIS1beLA0Ub2CEytj2q0/edit?usp=sharing"",""ฉะเชิงเทรา!N52"")+IMPORTRANGE(""https://docs.google.com/spreadsheets/d/11tr1B-Bhyr79v2bkwVh5h_fR-PStkgjlZtkrZpYurG0/edit"&amp;"?usp=sharing"",""ชลบุรี!N52"")+IMPORTRANGE(""https://docs.google.com/spreadsheets/d/1hh-FVnSX0vozXhGluamEcS54Dw9_zqW0N7qJUWgJ0Sw/edit?usp=sharing"",""ชัยนาท!N52"")+IMPORTRANGE(""https://docs.google.com/spreadsheets/d/1jkqa6GXxSacMcY1eN8AHjMNJ_7dDXMJVRLDla"&amp;"FSOdPM/edit?usp=sharing"",""ตราด!N52"")+IMPORTRANGE(""https://docs.google.com/spreadsheets/d/18hSgUJ3VwClqi_qtULmmW3cLr0oe3OKaSYoKzdpTsYQ/edit?usp=sharing"",""นครนายก!N52"")+IMPORTRANGE(""https://docs.google.com/spreadsheets/d/1YTZo6WM2dQ6Ix6FSdnL5P7uVnVK"&amp;"u40sxZu975tgG10E/edit?usp=sharing"",""นครปฐม!N52"")+IMPORTRANGE(""https://docs.google.com/spreadsheets/d/1OYoGg4WDg5RIzwGeB10padOxJF9E_Vljuvvct_M7RDo/edit?usp=sharing"",""ปทุมธานี!N52"")+IMPORTRANGE(""https://docs.google.com/spreadsheets/d/1GbCIE4D4wk9FUo"&amp;"zzqk7SxfDMxDVBwVmI5zcaVUSzKAc/edit?usp=sharing"",""ประจวบคีรีขันธ์!N52"")+IMPORTRANGE(""https://docs.google.com/spreadsheets/d/1vVf6wykvW_lAyu7Yo9L4hUTqHqIeP_qcVuxCtosJEbg/edit?usp=sharing"",""ปราจีนบุรี!N52"")+IMPORTRANGE(""https://docs.google.com/spread"&amp;"sheets/d/1BIDqLLg5jk3v59G8NlR8rk5xfQDKne0sAvZHSj7TI6I/edit?usp=sharing"",""พระนครศรีอยุธยา!N52"")+IMPORTRANGE(""https://docs.google.com/spreadsheets/d/1YXvxf8Yu6_rV4hTBrwMqAcAnv6DfhUxh5emyM3CJp_w/edit?usp=sharing"",""เพชรบุรี!N52"")+IMPORTRANGE(""https://"&amp;"docs.google.com/spreadsheets/d/19KBlQQs7uwvsao6t2n-KvW3Ax8J8uRRfZPq1zPbXgKc/edit?usp=sharing"",""ระยอง!N52"")+IMPORTRANGE(""https://docs.google.com/spreadsheets/d/1jQ6P4QcrGM89YfqcC_PxOHGCMq5ezhucwJd8ci-NHng/edit?usp=sharing"",""ราชบุรี!N52"")+IMPORTRANGE"&amp;"(""https://docs.google.com/spreadsheets/d/1lufeA2cfFqM-elVq2hznhDzC6Pr7wkJ9ZG_sYNGCMCU/edit?usp=sharing"",""ลพบุรี!N52"")+IMPORTRANGE(""https://docs.google.com/spreadsheets/d/10oOiF7loTyfsTkbd4MpaIm0HQ9SwB7IYHdIUvt-U1Uc/edit?usp=sharing"",""สระแก้ว!N52"")"&amp;"+IMPORTRANGE(""https://docs.google.com/spreadsheets/d/1xmPlrr1QbdSIKvl1dWUl9K4PjAfSL9oeMr_37QVzcxc/edit?usp=sharing"",""สระบุรี!N52"")+IMPORTRANGE(""https://docs.google.com/spreadsheets/d/1j51vR6CYVGhABJpv6tkstgok82RLpXieLzW1yOY5rHw/edit?usp=sharing"",""ส"&amp;"ิงห์บุรี!N52"")+IMPORTRANGE(""https://docs.google.com/spreadsheets/d/1H1EalTWKUSzO4Z1-1CwzoDUaVffgrThEBe2sl74kKG0/edit?usp=sharing"",""สุพรรณบุรี!N52"")+IMPORTRANGE(""https://docs.google.com/spreadsheets/d/1BmIruG_sIrJLYao_Pdr7zVArWsfoBt2692TMi6x_854/edit"&amp;"?usp=sharing"",""อ่างทอง!N52"")"),0)</f>
        <v>0</v>
      </c>
      <c r="O52" s="59">
        <f t="shared" ca="1" si="16"/>
        <v>0</v>
      </c>
      <c r="P52" s="59">
        <f t="shared" ca="1" si="17"/>
        <v>0</v>
      </c>
    </row>
    <row r="53" spans="1:16" ht="18.75" x14ac:dyDescent="0.25">
      <c r="A53" s="62"/>
      <c r="B53" s="63"/>
      <c r="C53" s="63"/>
      <c r="D53" s="64" t="s">
        <v>22</v>
      </c>
      <c r="E53" s="63"/>
      <c r="F53" s="63"/>
      <c r="G53" s="65"/>
      <c r="H53" s="66" t="s">
        <v>12</v>
      </c>
      <c r="I53" s="67"/>
      <c r="J53" s="67"/>
      <c r="K53" s="68"/>
      <c r="L53" s="69">
        <f t="shared" ref="L53:N53" ca="1" si="22">L54+L55</f>
        <v>0</v>
      </c>
      <c r="M53" s="69">
        <f t="shared" ca="1" si="22"/>
        <v>0</v>
      </c>
      <c r="N53" s="69">
        <f t="shared" ca="1" si="22"/>
        <v>0</v>
      </c>
      <c r="O53" s="69">
        <f t="shared" ca="1" si="16"/>
        <v>0</v>
      </c>
      <c r="P53" s="69">
        <f t="shared" ca="1" si="17"/>
        <v>0</v>
      </c>
    </row>
    <row r="54" spans="1:16" ht="18.75" x14ac:dyDescent="0.25">
      <c r="A54" s="52"/>
      <c r="B54" s="53"/>
      <c r="C54" s="53"/>
      <c r="D54" s="53"/>
      <c r="E54" s="60" t="s">
        <v>18</v>
      </c>
      <c r="F54" s="53"/>
      <c r="G54" s="55"/>
      <c r="H54" s="56" t="s">
        <v>12</v>
      </c>
      <c r="I54" s="57"/>
      <c r="J54" s="57"/>
      <c r="K54" s="58"/>
      <c r="L54" s="59">
        <f ca="1">IFERROR(__xludf.DUMMYFUNCTION("IMPORTRANGE(""https://docs.google.com/spreadsheets/d/13wPX838HrBrQMCywv1BsuMkt4PEKTChp52zj44s2izQ/edit?usp=sharing"",""กาญจนบุรี!L54"")+IMPORTRANGE(""https://docs.google.com/spreadsheets/d/1ddFKvqj1W1NEiWytbGlB1zMx_ykJDVtmfEQ-6-lIUBA/edit?usp=sharing"","""&amp;"จันทบุรี!L54"")+IMPORTRANGE(""https://docs.google.com/spreadsheets/d/1T1PQvRODqOBZk8BRht_U031fIS1beLA0Ub2CEytj2q0/edit?usp=sharing"",""ฉะเชิงเทรา!L54"")+IMPORTRANGE(""https://docs.google.com/spreadsheets/d/11tr1B-Bhyr79v2bkwVh5h_fR-PStkgjlZtkrZpYurG0/edit"&amp;"?usp=sharing"",""ชลบุรี!L54"")+IMPORTRANGE(""https://docs.google.com/spreadsheets/d/1hh-FVnSX0vozXhGluamEcS54Dw9_zqW0N7qJUWgJ0Sw/edit?usp=sharing"",""ชัยนาท!L54"")+IMPORTRANGE(""https://docs.google.com/spreadsheets/d/1jkqa6GXxSacMcY1eN8AHjMNJ_7dDXMJVRLDla"&amp;"FSOdPM/edit?usp=sharing"",""ตราด!L54"")+IMPORTRANGE(""https://docs.google.com/spreadsheets/d/18hSgUJ3VwClqi_qtULmmW3cLr0oe3OKaSYoKzdpTsYQ/edit?usp=sharing"",""นครนายก!L54"")+IMPORTRANGE(""https://docs.google.com/spreadsheets/d/1YTZo6WM2dQ6Ix6FSdnL5P7uVnVK"&amp;"u40sxZu975tgG10E/edit?usp=sharing"",""นครปฐม!L54"")+IMPORTRANGE(""https://docs.google.com/spreadsheets/d/1OYoGg4WDg5RIzwGeB10padOxJF9E_Vljuvvct_M7RDo/edit?usp=sharing"",""ปทุมธานี!L54"")+IMPORTRANGE(""https://docs.google.com/spreadsheets/d/1GbCIE4D4wk9FUo"&amp;"zzqk7SxfDMxDVBwVmI5zcaVUSzKAc/edit?usp=sharing"",""ประจวบคีรีขันธ์!L54"")+IMPORTRANGE(""https://docs.google.com/spreadsheets/d/1vVf6wykvW_lAyu7Yo9L4hUTqHqIeP_qcVuxCtosJEbg/edit?usp=sharing"",""ปราจีนบุรี!L54"")+IMPORTRANGE(""https://docs.google.com/spread"&amp;"sheets/d/1BIDqLLg5jk3v59G8NlR8rk5xfQDKne0sAvZHSj7TI6I/edit?usp=sharing"",""พระนครศรีอยุธยา!L54"")+IMPORTRANGE(""https://docs.google.com/spreadsheets/d/1YXvxf8Yu6_rV4hTBrwMqAcAnv6DfhUxh5emyM3CJp_w/edit?usp=sharing"",""เพชรบุรี!L54"")+IMPORTRANGE(""https://"&amp;"docs.google.com/spreadsheets/d/19KBlQQs7uwvsao6t2n-KvW3Ax8J8uRRfZPq1zPbXgKc/edit?usp=sharing"",""ระยอง!L54"")+IMPORTRANGE(""https://docs.google.com/spreadsheets/d/1jQ6P4QcrGM89YfqcC_PxOHGCMq5ezhucwJd8ci-NHng/edit?usp=sharing"",""ราชบุรี!L54"")+IMPORTRANGE"&amp;"(""https://docs.google.com/spreadsheets/d/1lufeA2cfFqM-elVq2hznhDzC6Pr7wkJ9ZG_sYNGCMCU/edit?usp=sharing"",""ลพบุรี!L54"")+IMPORTRANGE(""https://docs.google.com/spreadsheets/d/10oOiF7loTyfsTkbd4MpaIm0HQ9SwB7IYHdIUvt-U1Uc/edit?usp=sharing"",""สระแก้ว!L54"")"&amp;"+IMPORTRANGE(""https://docs.google.com/spreadsheets/d/1xmPlrr1QbdSIKvl1dWUl9K4PjAfSL9oeMr_37QVzcxc/edit?usp=sharing"",""สระบุรี!L54"")+IMPORTRANGE(""https://docs.google.com/spreadsheets/d/1j51vR6CYVGhABJpv6tkstgok82RLpXieLzW1yOY5rHw/edit?usp=sharing"",""ส"&amp;"ิงห์บุรี!L54"")+IMPORTRANGE(""https://docs.google.com/spreadsheets/d/1H1EalTWKUSzO4Z1-1CwzoDUaVffgrThEBe2sl74kKG0/edit?usp=sharing"",""สุพรรณบุรี!L54"")+IMPORTRANGE(""https://docs.google.com/spreadsheets/d/1BmIruG_sIrJLYao_Pdr7zVArWsfoBt2692TMi6x_854/edit"&amp;"?usp=sharing"",""อ่างทอง!L54"")"),0)</f>
        <v>0</v>
      </c>
      <c r="M54" s="59">
        <f ca="1">IFERROR(__xludf.DUMMYFUNCTION("IMPORTRANGE(""https://docs.google.com/spreadsheets/d/13wPX838HrBrQMCywv1BsuMkt4PEKTChp52zj44s2izQ/edit?usp=sharing"",""กาญจนบุรี!M54"")+IMPORTRANGE(""https://docs.google.com/spreadsheets/d/1ddFKvqj1W1NEiWytbGlB1zMx_ykJDVtmfEQ-6-lIUBA/edit?usp=sharing"","""&amp;"จันทบุรี!M54"")+IMPORTRANGE(""https://docs.google.com/spreadsheets/d/1T1PQvRODqOBZk8BRht_U031fIS1beLA0Ub2CEytj2q0/edit?usp=sharing"",""ฉะเชิงเทรา!M54"")+IMPORTRANGE(""https://docs.google.com/spreadsheets/d/11tr1B-Bhyr79v2bkwVh5h_fR-PStkgjlZtkrZpYurG0/edit"&amp;"?usp=sharing"",""ชลบุรี!M54"")+IMPORTRANGE(""https://docs.google.com/spreadsheets/d/1hh-FVnSX0vozXhGluamEcS54Dw9_zqW0N7qJUWgJ0Sw/edit?usp=sharing"",""ชัยนาท!M54"")+IMPORTRANGE(""https://docs.google.com/spreadsheets/d/1jkqa6GXxSacMcY1eN8AHjMNJ_7dDXMJVRLDla"&amp;"FSOdPM/edit?usp=sharing"",""ตราด!M54"")+IMPORTRANGE(""https://docs.google.com/spreadsheets/d/18hSgUJ3VwClqi_qtULmmW3cLr0oe3OKaSYoKzdpTsYQ/edit?usp=sharing"",""นครนายก!M54"")+IMPORTRANGE(""https://docs.google.com/spreadsheets/d/1YTZo6WM2dQ6Ix6FSdnL5P7uVnVK"&amp;"u40sxZu975tgG10E/edit?usp=sharing"",""นครปฐม!M54"")+IMPORTRANGE(""https://docs.google.com/spreadsheets/d/1OYoGg4WDg5RIzwGeB10padOxJF9E_Vljuvvct_M7RDo/edit?usp=sharing"",""ปทุมธานี!M54"")+IMPORTRANGE(""https://docs.google.com/spreadsheets/d/1GbCIE4D4wk9FUo"&amp;"zzqk7SxfDMxDVBwVmI5zcaVUSzKAc/edit?usp=sharing"",""ประจวบคีรีขันธ์!M54"")+IMPORTRANGE(""https://docs.google.com/spreadsheets/d/1vVf6wykvW_lAyu7Yo9L4hUTqHqIeP_qcVuxCtosJEbg/edit?usp=sharing"",""ปราจีนบุรี!M54"")+IMPORTRANGE(""https://docs.google.com/spread"&amp;"sheets/d/1BIDqLLg5jk3v59G8NlR8rk5xfQDKne0sAvZHSj7TI6I/edit?usp=sharing"",""พระนครศรีอยุธยา!M54"")+IMPORTRANGE(""https://docs.google.com/spreadsheets/d/1YXvxf8Yu6_rV4hTBrwMqAcAnv6DfhUxh5emyM3CJp_w/edit?usp=sharing"",""เพชรบุรี!M54"")+IMPORTRANGE(""https://"&amp;"docs.google.com/spreadsheets/d/19KBlQQs7uwvsao6t2n-KvW3Ax8J8uRRfZPq1zPbXgKc/edit?usp=sharing"",""ระยอง!M54"")+IMPORTRANGE(""https://docs.google.com/spreadsheets/d/1jQ6P4QcrGM89YfqcC_PxOHGCMq5ezhucwJd8ci-NHng/edit?usp=sharing"",""ราชบุรี!M54"")+IMPORTRANGE"&amp;"(""https://docs.google.com/spreadsheets/d/1lufeA2cfFqM-elVq2hznhDzC6Pr7wkJ9ZG_sYNGCMCU/edit?usp=sharing"",""ลพบุรี!M54"")+IMPORTRANGE(""https://docs.google.com/spreadsheets/d/10oOiF7loTyfsTkbd4MpaIm0HQ9SwB7IYHdIUvt-U1Uc/edit?usp=sharing"",""สระแก้ว!M54"")"&amp;"+IMPORTRANGE(""https://docs.google.com/spreadsheets/d/1xmPlrr1QbdSIKvl1dWUl9K4PjAfSL9oeMr_37QVzcxc/edit?usp=sharing"",""สระบุรี!M54"")+IMPORTRANGE(""https://docs.google.com/spreadsheets/d/1j51vR6CYVGhABJpv6tkstgok82RLpXieLzW1yOY5rHw/edit?usp=sharing"",""ส"&amp;"ิงห์บุรี!M54"")+IMPORTRANGE(""https://docs.google.com/spreadsheets/d/1H1EalTWKUSzO4Z1-1CwzoDUaVffgrThEBe2sl74kKG0/edit?usp=sharing"",""สุพรรณบุรี!M54"")+IMPORTRANGE(""https://docs.google.com/spreadsheets/d/1BmIruG_sIrJLYao_Pdr7zVArWsfoBt2692TMi6x_854/edit"&amp;"?usp=sharing"",""อ่างทอง!M54"")"),0)</f>
        <v>0</v>
      </c>
      <c r="N54" s="59">
        <f ca="1">IFERROR(__xludf.DUMMYFUNCTION("IMPORTRANGE(""https://docs.google.com/spreadsheets/d/13wPX838HrBrQMCywv1BsuMkt4PEKTChp52zj44s2izQ/edit?usp=sharing"",""กาญจนบุรี!N54"")+IMPORTRANGE(""https://docs.google.com/spreadsheets/d/1ddFKvqj1W1NEiWytbGlB1zMx_ykJDVtmfEQ-6-lIUBA/edit?usp=sharing"","""&amp;"จันทบุรี!N54"")+IMPORTRANGE(""https://docs.google.com/spreadsheets/d/1T1PQvRODqOBZk8BRht_U031fIS1beLA0Ub2CEytj2q0/edit?usp=sharing"",""ฉะเชิงเทรา!N54"")+IMPORTRANGE(""https://docs.google.com/spreadsheets/d/11tr1B-Bhyr79v2bkwVh5h_fR-PStkgjlZtkrZpYurG0/edit"&amp;"?usp=sharing"",""ชลบุรี!N54"")+IMPORTRANGE(""https://docs.google.com/spreadsheets/d/1hh-FVnSX0vozXhGluamEcS54Dw9_zqW0N7qJUWgJ0Sw/edit?usp=sharing"",""ชัยนาท!N54"")+IMPORTRANGE(""https://docs.google.com/spreadsheets/d/1jkqa6GXxSacMcY1eN8AHjMNJ_7dDXMJVRLDla"&amp;"FSOdPM/edit?usp=sharing"",""ตราด!N54"")+IMPORTRANGE(""https://docs.google.com/spreadsheets/d/18hSgUJ3VwClqi_qtULmmW3cLr0oe3OKaSYoKzdpTsYQ/edit?usp=sharing"",""นครนายก!N54"")+IMPORTRANGE(""https://docs.google.com/spreadsheets/d/1YTZo6WM2dQ6Ix6FSdnL5P7uVnVK"&amp;"u40sxZu975tgG10E/edit?usp=sharing"",""นครปฐม!N54"")+IMPORTRANGE(""https://docs.google.com/spreadsheets/d/1OYoGg4WDg5RIzwGeB10padOxJF9E_Vljuvvct_M7RDo/edit?usp=sharing"",""ปทุมธานี!N54"")+IMPORTRANGE(""https://docs.google.com/spreadsheets/d/1GbCIE4D4wk9FUo"&amp;"zzqk7SxfDMxDVBwVmI5zcaVUSzKAc/edit?usp=sharing"",""ประจวบคีรีขันธ์!N54"")+IMPORTRANGE(""https://docs.google.com/spreadsheets/d/1vVf6wykvW_lAyu7Yo9L4hUTqHqIeP_qcVuxCtosJEbg/edit?usp=sharing"",""ปราจีนบุรี!N54"")+IMPORTRANGE(""https://docs.google.com/spread"&amp;"sheets/d/1BIDqLLg5jk3v59G8NlR8rk5xfQDKne0sAvZHSj7TI6I/edit?usp=sharing"",""พระนครศรีอยุธยา!N54"")+IMPORTRANGE(""https://docs.google.com/spreadsheets/d/1YXvxf8Yu6_rV4hTBrwMqAcAnv6DfhUxh5emyM3CJp_w/edit?usp=sharing"",""เพชรบุรี!N54"")+IMPORTRANGE(""https://"&amp;"docs.google.com/spreadsheets/d/19KBlQQs7uwvsao6t2n-KvW3Ax8J8uRRfZPq1zPbXgKc/edit?usp=sharing"",""ระยอง!N54"")+IMPORTRANGE(""https://docs.google.com/spreadsheets/d/1jQ6P4QcrGM89YfqcC_PxOHGCMq5ezhucwJd8ci-NHng/edit?usp=sharing"",""ราชบุรี!N54"")+IMPORTRANGE"&amp;"(""https://docs.google.com/spreadsheets/d/1lufeA2cfFqM-elVq2hznhDzC6Pr7wkJ9ZG_sYNGCMCU/edit?usp=sharing"",""ลพบุรี!N54"")+IMPORTRANGE(""https://docs.google.com/spreadsheets/d/10oOiF7loTyfsTkbd4MpaIm0HQ9SwB7IYHdIUvt-U1Uc/edit?usp=sharing"",""สระแก้ว!N54"")"&amp;"+IMPORTRANGE(""https://docs.google.com/spreadsheets/d/1xmPlrr1QbdSIKvl1dWUl9K4PjAfSL9oeMr_37QVzcxc/edit?usp=sharing"",""สระบุรี!N54"")+IMPORTRANGE(""https://docs.google.com/spreadsheets/d/1j51vR6CYVGhABJpv6tkstgok82RLpXieLzW1yOY5rHw/edit?usp=sharing"",""ส"&amp;"ิงห์บุรี!N54"")+IMPORTRANGE(""https://docs.google.com/spreadsheets/d/1H1EalTWKUSzO4Z1-1CwzoDUaVffgrThEBe2sl74kKG0/edit?usp=sharing"",""สุพรรณบุรี!N54"")+IMPORTRANGE(""https://docs.google.com/spreadsheets/d/1BmIruG_sIrJLYao_Pdr7zVArWsfoBt2692TMi6x_854/edit"&amp;"?usp=sharing"",""อ่างทอง!N54"")"),0)</f>
        <v>0</v>
      </c>
      <c r="O54" s="59">
        <f t="shared" ca="1" si="16"/>
        <v>0</v>
      </c>
      <c r="P54" s="59">
        <f t="shared" ca="1" si="17"/>
        <v>0</v>
      </c>
    </row>
    <row r="55" spans="1:16" ht="18.75" x14ac:dyDescent="0.25">
      <c r="A55" s="70"/>
      <c r="B55" s="71"/>
      <c r="C55" s="71"/>
      <c r="D55" s="71"/>
      <c r="E55" s="72" t="s">
        <v>19</v>
      </c>
      <c r="F55" s="71"/>
      <c r="G55" s="73"/>
      <c r="H55" s="74" t="s">
        <v>12</v>
      </c>
      <c r="I55" s="75"/>
      <c r="J55" s="75"/>
      <c r="K55" s="76"/>
      <c r="L55" s="77">
        <f ca="1">IFERROR(__xludf.DUMMYFUNCTION("IMPORTRANGE(""https://docs.google.com/spreadsheets/d/13wPX838HrBrQMCywv1BsuMkt4PEKTChp52zj44s2izQ/edit?usp=sharing"",""กาญจนบุรี!L55"")+IMPORTRANGE(""https://docs.google.com/spreadsheets/d/1ddFKvqj1W1NEiWytbGlB1zMx_ykJDVtmfEQ-6-lIUBA/edit?usp=sharing"","""&amp;"จันทบุรี!L55"")+IMPORTRANGE(""https://docs.google.com/spreadsheets/d/1T1PQvRODqOBZk8BRht_U031fIS1beLA0Ub2CEytj2q0/edit?usp=sharing"",""ฉะเชิงเทรา!L55"")+IMPORTRANGE(""https://docs.google.com/spreadsheets/d/11tr1B-Bhyr79v2bkwVh5h_fR-PStkgjlZtkrZpYurG0/edit"&amp;"?usp=sharing"",""ชลบุรี!L55"")+IMPORTRANGE(""https://docs.google.com/spreadsheets/d/1hh-FVnSX0vozXhGluamEcS54Dw9_zqW0N7qJUWgJ0Sw/edit?usp=sharing"",""ชัยนาท!L55"")+IMPORTRANGE(""https://docs.google.com/spreadsheets/d/1jkqa6GXxSacMcY1eN8AHjMNJ_7dDXMJVRLDla"&amp;"FSOdPM/edit?usp=sharing"",""ตราด!L55"")+IMPORTRANGE(""https://docs.google.com/spreadsheets/d/18hSgUJ3VwClqi_qtULmmW3cLr0oe3OKaSYoKzdpTsYQ/edit?usp=sharing"",""นครนายก!L55"")+IMPORTRANGE(""https://docs.google.com/spreadsheets/d/1YTZo6WM2dQ6Ix6FSdnL5P7uVnVK"&amp;"u40sxZu975tgG10E/edit?usp=sharing"",""นครปฐม!L55"")+IMPORTRANGE(""https://docs.google.com/spreadsheets/d/1OYoGg4WDg5RIzwGeB10padOxJF9E_Vljuvvct_M7RDo/edit?usp=sharing"",""ปทุมธานี!L55"")+IMPORTRANGE(""https://docs.google.com/spreadsheets/d/1GbCIE4D4wk9FUo"&amp;"zzqk7SxfDMxDVBwVmI5zcaVUSzKAc/edit?usp=sharing"",""ประจวบคีรีขันธ์!L55"")+IMPORTRANGE(""https://docs.google.com/spreadsheets/d/1vVf6wykvW_lAyu7Yo9L4hUTqHqIeP_qcVuxCtosJEbg/edit?usp=sharing"",""ปราจีนบุรี!L55"")+IMPORTRANGE(""https://docs.google.com/spread"&amp;"sheets/d/1BIDqLLg5jk3v59G8NlR8rk5xfQDKne0sAvZHSj7TI6I/edit?usp=sharing"",""พระนครศรีอยุธยา!L55"")+IMPORTRANGE(""https://docs.google.com/spreadsheets/d/1YXvxf8Yu6_rV4hTBrwMqAcAnv6DfhUxh5emyM3CJp_w/edit?usp=sharing"",""เพชรบุรี!L55"")+IMPORTRANGE(""https://"&amp;"docs.google.com/spreadsheets/d/19KBlQQs7uwvsao6t2n-KvW3Ax8J8uRRfZPq1zPbXgKc/edit?usp=sharing"",""ระยอง!L55"")+IMPORTRANGE(""https://docs.google.com/spreadsheets/d/1jQ6P4QcrGM89YfqcC_PxOHGCMq5ezhucwJd8ci-NHng/edit?usp=sharing"",""ราชบุรี!L55"")+IMPORTRANGE"&amp;"(""https://docs.google.com/spreadsheets/d/1lufeA2cfFqM-elVq2hznhDzC6Pr7wkJ9ZG_sYNGCMCU/edit?usp=sharing"",""ลพบุรี!L55"")+IMPORTRANGE(""https://docs.google.com/spreadsheets/d/10oOiF7loTyfsTkbd4MpaIm0HQ9SwB7IYHdIUvt-U1Uc/edit?usp=sharing"",""สระแก้ว!L55"")"&amp;"+IMPORTRANGE(""https://docs.google.com/spreadsheets/d/1xmPlrr1QbdSIKvl1dWUl9K4PjAfSL9oeMr_37QVzcxc/edit?usp=sharing"",""สระบุรี!L55"")+IMPORTRANGE(""https://docs.google.com/spreadsheets/d/1j51vR6CYVGhABJpv6tkstgok82RLpXieLzW1yOY5rHw/edit?usp=sharing"",""ส"&amp;"ิงห์บุรี!L55"")+IMPORTRANGE(""https://docs.google.com/spreadsheets/d/1H1EalTWKUSzO4Z1-1CwzoDUaVffgrThEBe2sl74kKG0/edit?usp=sharing"",""สุพรรณบุรี!L55"")+IMPORTRANGE(""https://docs.google.com/spreadsheets/d/1BmIruG_sIrJLYao_Pdr7zVArWsfoBt2692TMi6x_854/edit"&amp;"?usp=sharing"",""อ่างทอง!L55"")"),0)</f>
        <v>0</v>
      </c>
      <c r="M55" s="77">
        <f ca="1">IFERROR(__xludf.DUMMYFUNCTION("IMPORTRANGE(""https://docs.google.com/spreadsheets/d/13wPX838HrBrQMCywv1BsuMkt4PEKTChp52zj44s2izQ/edit?usp=sharing"",""กาญจนบุรี!M55"")+IMPORTRANGE(""https://docs.google.com/spreadsheets/d/1ddFKvqj1W1NEiWytbGlB1zMx_ykJDVtmfEQ-6-lIUBA/edit?usp=sharing"","""&amp;"จันทบุรี!M55"")+IMPORTRANGE(""https://docs.google.com/spreadsheets/d/1T1PQvRODqOBZk8BRht_U031fIS1beLA0Ub2CEytj2q0/edit?usp=sharing"",""ฉะเชิงเทรา!M55"")+IMPORTRANGE(""https://docs.google.com/spreadsheets/d/11tr1B-Bhyr79v2bkwVh5h_fR-PStkgjlZtkrZpYurG0/edit"&amp;"?usp=sharing"",""ชลบุรี!M55"")+IMPORTRANGE(""https://docs.google.com/spreadsheets/d/1hh-FVnSX0vozXhGluamEcS54Dw9_zqW0N7qJUWgJ0Sw/edit?usp=sharing"",""ชัยนาท!M55"")+IMPORTRANGE(""https://docs.google.com/spreadsheets/d/1jkqa6GXxSacMcY1eN8AHjMNJ_7dDXMJVRLDla"&amp;"FSOdPM/edit?usp=sharing"",""ตราด!M55"")+IMPORTRANGE(""https://docs.google.com/spreadsheets/d/18hSgUJ3VwClqi_qtULmmW3cLr0oe3OKaSYoKzdpTsYQ/edit?usp=sharing"",""นครนายก!M55"")+IMPORTRANGE(""https://docs.google.com/spreadsheets/d/1YTZo6WM2dQ6Ix6FSdnL5P7uVnVK"&amp;"u40sxZu975tgG10E/edit?usp=sharing"",""นครปฐม!M55"")+IMPORTRANGE(""https://docs.google.com/spreadsheets/d/1OYoGg4WDg5RIzwGeB10padOxJF9E_Vljuvvct_M7RDo/edit?usp=sharing"",""ปทุมธานี!M55"")+IMPORTRANGE(""https://docs.google.com/spreadsheets/d/1GbCIE4D4wk9FUo"&amp;"zzqk7SxfDMxDVBwVmI5zcaVUSzKAc/edit?usp=sharing"",""ประจวบคีรีขันธ์!M55"")+IMPORTRANGE(""https://docs.google.com/spreadsheets/d/1vVf6wykvW_lAyu7Yo9L4hUTqHqIeP_qcVuxCtosJEbg/edit?usp=sharing"",""ปราจีนบุรี!M55"")+IMPORTRANGE(""https://docs.google.com/spread"&amp;"sheets/d/1BIDqLLg5jk3v59G8NlR8rk5xfQDKne0sAvZHSj7TI6I/edit?usp=sharing"",""พระนครศรีอยุธยา!M55"")+IMPORTRANGE(""https://docs.google.com/spreadsheets/d/1YXvxf8Yu6_rV4hTBrwMqAcAnv6DfhUxh5emyM3CJp_w/edit?usp=sharing"",""เพชรบุรี!M55"")+IMPORTRANGE(""https://"&amp;"docs.google.com/spreadsheets/d/19KBlQQs7uwvsao6t2n-KvW3Ax8J8uRRfZPq1zPbXgKc/edit?usp=sharing"",""ระยอง!M55"")+IMPORTRANGE(""https://docs.google.com/spreadsheets/d/1jQ6P4QcrGM89YfqcC_PxOHGCMq5ezhucwJd8ci-NHng/edit?usp=sharing"",""ราชบุรี!M55"")+IMPORTRANGE"&amp;"(""https://docs.google.com/spreadsheets/d/1lufeA2cfFqM-elVq2hznhDzC6Pr7wkJ9ZG_sYNGCMCU/edit?usp=sharing"",""ลพบุรี!M55"")+IMPORTRANGE(""https://docs.google.com/spreadsheets/d/10oOiF7loTyfsTkbd4MpaIm0HQ9SwB7IYHdIUvt-U1Uc/edit?usp=sharing"",""สระแก้ว!M55"")"&amp;"+IMPORTRANGE(""https://docs.google.com/spreadsheets/d/1xmPlrr1QbdSIKvl1dWUl9K4PjAfSL9oeMr_37QVzcxc/edit?usp=sharing"",""สระบุรี!M55"")+IMPORTRANGE(""https://docs.google.com/spreadsheets/d/1j51vR6CYVGhABJpv6tkstgok82RLpXieLzW1yOY5rHw/edit?usp=sharing"",""ส"&amp;"ิงห์บุรี!M55"")+IMPORTRANGE(""https://docs.google.com/spreadsheets/d/1H1EalTWKUSzO4Z1-1CwzoDUaVffgrThEBe2sl74kKG0/edit?usp=sharing"",""สุพรรณบุรี!M55"")+IMPORTRANGE(""https://docs.google.com/spreadsheets/d/1BmIruG_sIrJLYao_Pdr7zVArWsfoBt2692TMi6x_854/edit"&amp;"?usp=sharing"",""อ่างทอง!M55"")"),0)</f>
        <v>0</v>
      </c>
      <c r="N55" s="77">
        <f ca="1">IFERROR(__xludf.DUMMYFUNCTION("IMPORTRANGE(""https://docs.google.com/spreadsheets/d/13wPX838HrBrQMCywv1BsuMkt4PEKTChp52zj44s2izQ/edit?usp=sharing"",""กาญจนบุรี!N55"")+IMPORTRANGE(""https://docs.google.com/spreadsheets/d/1ddFKvqj1W1NEiWytbGlB1zMx_ykJDVtmfEQ-6-lIUBA/edit?usp=sharing"","""&amp;"จันทบุรี!N55"")+IMPORTRANGE(""https://docs.google.com/spreadsheets/d/1T1PQvRODqOBZk8BRht_U031fIS1beLA0Ub2CEytj2q0/edit?usp=sharing"",""ฉะเชิงเทรา!N55"")+IMPORTRANGE(""https://docs.google.com/spreadsheets/d/11tr1B-Bhyr79v2bkwVh5h_fR-PStkgjlZtkrZpYurG0/edit"&amp;"?usp=sharing"",""ชลบุรี!N55"")+IMPORTRANGE(""https://docs.google.com/spreadsheets/d/1hh-FVnSX0vozXhGluamEcS54Dw9_zqW0N7qJUWgJ0Sw/edit?usp=sharing"",""ชัยนาท!N55"")+IMPORTRANGE(""https://docs.google.com/spreadsheets/d/1jkqa6GXxSacMcY1eN8AHjMNJ_7dDXMJVRLDla"&amp;"FSOdPM/edit?usp=sharing"",""ตราด!N55"")+IMPORTRANGE(""https://docs.google.com/spreadsheets/d/18hSgUJ3VwClqi_qtULmmW3cLr0oe3OKaSYoKzdpTsYQ/edit?usp=sharing"",""นครนายก!N55"")+IMPORTRANGE(""https://docs.google.com/spreadsheets/d/1YTZo6WM2dQ6Ix6FSdnL5P7uVnVK"&amp;"u40sxZu975tgG10E/edit?usp=sharing"",""นครปฐม!N55"")+IMPORTRANGE(""https://docs.google.com/spreadsheets/d/1OYoGg4WDg5RIzwGeB10padOxJF9E_Vljuvvct_M7RDo/edit?usp=sharing"",""ปทุมธานี!N55"")+IMPORTRANGE(""https://docs.google.com/spreadsheets/d/1GbCIE4D4wk9FUo"&amp;"zzqk7SxfDMxDVBwVmI5zcaVUSzKAc/edit?usp=sharing"",""ประจวบคีรีขันธ์!N55"")+IMPORTRANGE(""https://docs.google.com/spreadsheets/d/1vVf6wykvW_lAyu7Yo9L4hUTqHqIeP_qcVuxCtosJEbg/edit?usp=sharing"",""ปราจีนบุรี!N55"")+IMPORTRANGE(""https://docs.google.com/spread"&amp;"sheets/d/1BIDqLLg5jk3v59G8NlR8rk5xfQDKne0sAvZHSj7TI6I/edit?usp=sharing"",""พระนครศรีอยุธยา!N55"")+IMPORTRANGE(""https://docs.google.com/spreadsheets/d/1YXvxf8Yu6_rV4hTBrwMqAcAnv6DfhUxh5emyM3CJp_w/edit?usp=sharing"",""เพชรบุรี!N55"")+IMPORTRANGE(""https://"&amp;"docs.google.com/spreadsheets/d/19KBlQQs7uwvsao6t2n-KvW3Ax8J8uRRfZPq1zPbXgKc/edit?usp=sharing"",""ระยอง!N55"")+IMPORTRANGE(""https://docs.google.com/spreadsheets/d/1jQ6P4QcrGM89YfqcC_PxOHGCMq5ezhucwJd8ci-NHng/edit?usp=sharing"",""ราชบุรี!N55"")+IMPORTRANGE"&amp;"(""https://docs.google.com/spreadsheets/d/1lufeA2cfFqM-elVq2hznhDzC6Pr7wkJ9ZG_sYNGCMCU/edit?usp=sharing"",""ลพบุรี!N55"")+IMPORTRANGE(""https://docs.google.com/spreadsheets/d/10oOiF7loTyfsTkbd4MpaIm0HQ9SwB7IYHdIUvt-U1Uc/edit?usp=sharing"",""สระแก้ว!N55"")"&amp;"+IMPORTRANGE(""https://docs.google.com/spreadsheets/d/1xmPlrr1QbdSIKvl1dWUl9K4PjAfSL9oeMr_37QVzcxc/edit?usp=sharing"",""สระบุรี!N55"")+IMPORTRANGE(""https://docs.google.com/spreadsheets/d/1j51vR6CYVGhABJpv6tkstgok82RLpXieLzW1yOY5rHw/edit?usp=sharing"",""ส"&amp;"ิงห์บุรี!N55"")+IMPORTRANGE(""https://docs.google.com/spreadsheets/d/1H1EalTWKUSzO4Z1-1CwzoDUaVffgrThEBe2sl74kKG0/edit?usp=sharing"",""สุพรรณบุรี!N55"")+IMPORTRANGE(""https://docs.google.com/spreadsheets/d/1BmIruG_sIrJLYao_Pdr7zVArWsfoBt2692TMi6x_854/edit"&amp;"?usp=sharing"",""อ่างทอง!N55"")"),0)</f>
        <v>0</v>
      </c>
      <c r="O55" s="77">
        <f t="shared" ca="1" si="16"/>
        <v>0</v>
      </c>
      <c r="P55" s="77">
        <f t="shared" ca="1" si="17"/>
        <v>0</v>
      </c>
    </row>
    <row r="56" spans="1:16" ht="19.5" x14ac:dyDescent="0.3">
      <c r="A56" s="497" t="s">
        <v>26</v>
      </c>
      <c r="B56" s="491"/>
      <c r="C56" s="491"/>
      <c r="D56" s="491"/>
      <c r="E56" s="491"/>
      <c r="F56" s="491"/>
      <c r="G56" s="491"/>
      <c r="H56" s="107"/>
      <c r="I56" s="108"/>
      <c r="J56" s="108"/>
      <c r="K56" s="109"/>
      <c r="L56" s="109"/>
      <c r="M56" s="109"/>
      <c r="N56" s="109"/>
      <c r="O56" s="109"/>
      <c r="P56" s="110"/>
    </row>
    <row r="57" spans="1:16" ht="19.5" x14ac:dyDescent="0.3">
      <c r="A57" s="111"/>
      <c r="B57" s="498" t="s">
        <v>27</v>
      </c>
      <c r="C57" s="499"/>
      <c r="D57" s="499"/>
      <c r="E57" s="499"/>
      <c r="F57" s="499"/>
      <c r="G57" s="500"/>
      <c r="H57" s="112"/>
      <c r="I57" s="113"/>
      <c r="J57" s="113"/>
      <c r="K57" s="114"/>
      <c r="L57" s="114"/>
      <c r="M57" s="114"/>
      <c r="N57" s="114"/>
      <c r="O57" s="114"/>
      <c r="P57" s="114"/>
    </row>
    <row r="58" spans="1:16" ht="19.5" x14ac:dyDescent="0.3">
      <c r="A58" s="115"/>
      <c r="B58" s="116" t="s">
        <v>28</v>
      </c>
      <c r="C58" s="117"/>
      <c r="D58" s="117"/>
      <c r="E58" s="117"/>
      <c r="F58" s="117"/>
      <c r="G58" s="118"/>
      <c r="H58" s="118"/>
      <c r="I58" s="119"/>
      <c r="J58" s="119"/>
      <c r="K58" s="120"/>
      <c r="L58" s="120"/>
      <c r="M58" s="120"/>
      <c r="N58" s="120"/>
      <c r="O58" s="120"/>
      <c r="P58" s="120"/>
    </row>
    <row r="59" spans="1:16" ht="19.5" x14ac:dyDescent="0.3">
      <c r="A59" s="121"/>
      <c r="B59" s="122"/>
      <c r="C59" s="123" t="s">
        <v>16</v>
      </c>
      <c r="D59" s="124" t="s">
        <v>17</v>
      </c>
      <c r="E59" s="122"/>
      <c r="F59" s="122"/>
      <c r="G59" s="125"/>
      <c r="H59" s="126" t="s">
        <v>12</v>
      </c>
      <c r="I59" s="127"/>
      <c r="J59" s="127"/>
      <c r="K59" s="128"/>
      <c r="L59" s="129">
        <f t="shared" ref="L59:N59" ca="1" si="23">L60+L61</f>
        <v>9570900</v>
      </c>
      <c r="M59" s="129">
        <f t="shared" ca="1" si="23"/>
        <v>7437630</v>
      </c>
      <c r="N59" s="129">
        <f t="shared" ca="1" si="23"/>
        <v>4849244.54</v>
      </c>
      <c r="O59" s="129">
        <f t="shared" ref="O59:O67" ca="1" si="24">IF(L59&gt;0,N59*100/L59,0)</f>
        <v>50.666546928710986</v>
      </c>
      <c r="P59" s="129">
        <f t="shared" ref="P59:P67" ca="1" si="25">IF(M59&gt;0,N59*100/M59,0)</f>
        <v>65.19878697918557</v>
      </c>
    </row>
    <row r="60" spans="1:16" ht="18.75" x14ac:dyDescent="0.25">
      <c r="A60" s="121"/>
      <c r="B60" s="122"/>
      <c r="C60" s="122"/>
      <c r="D60" s="122"/>
      <c r="E60" s="130" t="s">
        <v>18</v>
      </c>
      <c r="F60" s="122"/>
      <c r="G60" s="125"/>
      <c r="H60" s="131" t="s">
        <v>12</v>
      </c>
      <c r="I60" s="127"/>
      <c r="J60" s="127"/>
      <c r="K60" s="128"/>
      <c r="L60" s="132">
        <f t="shared" ref="L60:N60" ca="1" si="26">L63+L66</f>
        <v>0</v>
      </c>
      <c r="M60" s="132">
        <f t="shared" ca="1" si="26"/>
        <v>0</v>
      </c>
      <c r="N60" s="132">
        <f t="shared" ca="1" si="26"/>
        <v>0</v>
      </c>
      <c r="O60" s="132">
        <f t="shared" ca="1" si="24"/>
        <v>0</v>
      </c>
      <c r="P60" s="132">
        <f t="shared" ca="1" si="25"/>
        <v>0</v>
      </c>
    </row>
    <row r="61" spans="1:16" ht="18.75" x14ac:dyDescent="0.25">
      <c r="A61" s="121"/>
      <c r="B61" s="122"/>
      <c r="C61" s="122"/>
      <c r="D61" s="122"/>
      <c r="E61" s="130" t="s">
        <v>19</v>
      </c>
      <c r="F61" s="122"/>
      <c r="G61" s="125"/>
      <c r="H61" s="131" t="s">
        <v>12</v>
      </c>
      <c r="I61" s="127"/>
      <c r="J61" s="127"/>
      <c r="K61" s="128"/>
      <c r="L61" s="132">
        <f t="shared" ref="L61:N61" ca="1" si="27">L64+L67</f>
        <v>9570900</v>
      </c>
      <c r="M61" s="132">
        <f t="shared" ca="1" si="27"/>
        <v>7437630</v>
      </c>
      <c r="N61" s="132">
        <f t="shared" ca="1" si="27"/>
        <v>4849244.54</v>
      </c>
      <c r="O61" s="132">
        <f t="shared" ca="1" si="24"/>
        <v>50.666546928710986</v>
      </c>
      <c r="P61" s="132">
        <f t="shared" ca="1" si="25"/>
        <v>65.19878697918557</v>
      </c>
    </row>
    <row r="62" spans="1:16" ht="18.75" x14ac:dyDescent="0.25">
      <c r="A62" s="52"/>
      <c r="B62" s="53"/>
      <c r="C62" s="53"/>
      <c r="D62" s="54" t="s">
        <v>20</v>
      </c>
      <c r="E62" s="53"/>
      <c r="F62" s="53"/>
      <c r="G62" s="55"/>
      <c r="H62" s="56" t="s">
        <v>12</v>
      </c>
      <c r="I62" s="57"/>
      <c r="J62" s="57"/>
      <c r="K62" s="58"/>
      <c r="L62" s="59">
        <f t="shared" ref="L62:N62" ca="1" si="28">L63+L64</f>
        <v>9570900</v>
      </c>
      <c r="M62" s="59">
        <f t="shared" ca="1" si="28"/>
        <v>7437630</v>
      </c>
      <c r="N62" s="59">
        <f t="shared" ca="1" si="28"/>
        <v>4849244.54</v>
      </c>
      <c r="O62" s="59">
        <f t="shared" ca="1" si="24"/>
        <v>50.666546928710986</v>
      </c>
      <c r="P62" s="59">
        <f t="shared" ca="1" si="25"/>
        <v>65.19878697918557</v>
      </c>
    </row>
    <row r="63" spans="1:16" ht="18.75" x14ac:dyDescent="0.25">
      <c r="A63" s="52"/>
      <c r="B63" s="53"/>
      <c r="C63" s="53"/>
      <c r="D63" s="53"/>
      <c r="E63" s="60" t="s">
        <v>18</v>
      </c>
      <c r="F63" s="53"/>
      <c r="G63" s="55"/>
      <c r="H63" s="56" t="s">
        <v>12</v>
      </c>
      <c r="I63" s="57"/>
      <c r="J63" s="57"/>
      <c r="K63" s="58"/>
      <c r="L63" s="59">
        <f ca="1">IFERROR(__xludf.DUMMYFUNCTION("IMPORTRANGE(""https://docs.google.com/spreadsheets/d/13wPX838HrBrQMCywv1BsuMkt4PEKTChp52zj44s2izQ/edit?usp=sharing"",""กาญจนบุรี!L63"")+IMPORTRANGE(""https://docs.google.com/spreadsheets/d/1ddFKvqj1W1NEiWytbGlB1zMx_ykJDVtmfEQ-6-lIUBA/edit?usp=sharing"","""&amp;"จันทบุรี!L63"")+IMPORTRANGE(""https://docs.google.com/spreadsheets/d/1T1PQvRODqOBZk8BRht_U031fIS1beLA0Ub2CEytj2q0/edit?usp=sharing"",""ฉะเชิงเทรา!L63"")+IMPORTRANGE(""https://docs.google.com/spreadsheets/d/11tr1B-Bhyr79v2bkwVh5h_fR-PStkgjlZtkrZpYurG0/edit"&amp;"?usp=sharing"",""ชลบุรี!L63"")+IMPORTRANGE(""https://docs.google.com/spreadsheets/d/1hh-FVnSX0vozXhGluamEcS54Dw9_zqW0N7qJUWgJ0Sw/edit?usp=sharing"",""ชัยนาท!L63"")+IMPORTRANGE(""https://docs.google.com/spreadsheets/d/1jkqa6GXxSacMcY1eN8AHjMNJ_7dDXMJVRLDla"&amp;"FSOdPM/edit?usp=sharing"",""ตราด!L63"")+IMPORTRANGE(""https://docs.google.com/spreadsheets/d/18hSgUJ3VwClqi_qtULmmW3cLr0oe3OKaSYoKzdpTsYQ/edit?usp=sharing"",""นครนายก!L63"")+IMPORTRANGE(""https://docs.google.com/spreadsheets/d/1YTZo6WM2dQ6Ix6FSdnL5P7uVnVK"&amp;"u40sxZu975tgG10E/edit?usp=sharing"",""นครปฐม!L63"")+IMPORTRANGE(""https://docs.google.com/spreadsheets/d/1OYoGg4WDg5RIzwGeB10padOxJF9E_Vljuvvct_M7RDo/edit?usp=sharing"",""ปทุมธานี!L63"")+IMPORTRANGE(""https://docs.google.com/spreadsheets/d/1GbCIE4D4wk9FUo"&amp;"zzqk7SxfDMxDVBwVmI5zcaVUSzKAc/edit?usp=sharing"",""ประจวบคีรีขันธ์!L63"")+IMPORTRANGE(""https://docs.google.com/spreadsheets/d/1vVf6wykvW_lAyu7Yo9L4hUTqHqIeP_qcVuxCtosJEbg/edit?usp=sharing"",""ปราจีนบุรี!L63"")+IMPORTRANGE(""https://docs.google.com/spread"&amp;"sheets/d/1BIDqLLg5jk3v59G8NlR8rk5xfQDKne0sAvZHSj7TI6I/edit?usp=sharing"",""พระนครศรีอยุธยา!L63"")+IMPORTRANGE(""https://docs.google.com/spreadsheets/d/1YXvxf8Yu6_rV4hTBrwMqAcAnv6DfhUxh5emyM3CJp_w/edit?usp=sharing"",""เพชรบุรี!L63"")+IMPORTRANGE(""https://"&amp;"docs.google.com/spreadsheets/d/19KBlQQs7uwvsao6t2n-KvW3Ax8J8uRRfZPq1zPbXgKc/edit?usp=sharing"",""ระยอง!L63"")+IMPORTRANGE(""https://docs.google.com/spreadsheets/d/1jQ6P4QcrGM89YfqcC_PxOHGCMq5ezhucwJd8ci-NHng/edit?usp=sharing"",""ราชบุรี!L63"")+IMPORTRANGE"&amp;"(""https://docs.google.com/spreadsheets/d/1lufeA2cfFqM-elVq2hznhDzC6Pr7wkJ9ZG_sYNGCMCU/edit?usp=sharing"",""ลพบุรี!L63"")+IMPORTRANGE(""https://docs.google.com/spreadsheets/d/10oOiF7loTyfsTkbd4MpaIm0HQ9SwB7IYHdIUvt-U1Uc/edit?usp=sharing"",""สระแก้ว!L63"")"&amp;"+IMPORTRANGE(""https://docs.google.com/spreadsheets/d/1xmPlrr1QbdSIKvl1dWUl9K4PjAfSL9oeMr_37QVzcxc/edit?usp=sharing"",""สระบุรี!L63"")+IMPORTRANGE(""https://docs.google.com/spreadsheets/d/1j51vR6CYVGhABJpv6tkstgok82RLpXieLzW1yOY5rHw/edit?usp=sharing"",""ส"&amp;"ิงห์บุรี!L63"")+IMPORTRANGE(""https://docs.google.com/spreadsheets/d/1H1EalTWKUSzO4Z1-1CwzoDUaVffgrThEBe2sl74kKG0/edit?usp=sharing"",""สุพรรณบุรี!L63"")+IMPORTRANGE(""https://docs.google.com/spreadsheets/d/1BmIruG_sIrJLYao_Pdr7zVArWsfoBt2692TMi6x_854/edit"&amp;"?usp=sharing"",""อ่างทอง!L63"")"),0)</f>
        <v>0</v>
      </c>
      <c r="M63" s="59">
        <f ca="1">IFERROR(__xludf.DUMMYFUNCTION("IMPORTRANGE(""https://docs.google.com/spreadsheets/d/13wPX838HrBrQMCywv1BsuMkt4PEKTChp52zj44s2izQ/edit?usp=sharing"",""กาญจนบุรี!M63"")+IMPORTRANGE(""https://docs.google.com/spreadsheets/d/1ddFKvqj1W1NEiWytbGlB1zMx_ykJDVtmfEQ-6-lIUBA/edit?usp=sharing"","""&amp;"จันทบุรี!M63"")+IMPORTRANGE(""https://docs.google.com/spreadsheets/d/1T1PQvRODqOBZk8BRht_U031fIS1beLA0Ub2CEytj2q0/edit?usp=sharing"",""ฉะเชิงเทรา!M63"")+IMPORTRANGE(""https://docs.google.com/spreadsheets/d/11tr1B-Bhyr79v2bkwVh5h_fR-PStkgjlZtkrZpYurG0/edit"&amp;"?usp=sharing"",""ชลบุรี!M63"")+IMPORTRANGE(""https://docs.google.com/spreadsheets/d/1hh-FVnSX0vozXhGluamEcS54Dw9_zqW0N7qJUWgJ0Sw/edit?usp=sharing"",""ชัยนาท!M63"")+IMPORTRANGE(""https://docs.google.com/spreadsheets/d/1jkqa6GXxSacMcY1eN8AHjMNJ_7dDXMJVRLDla"&amp;"FSOdPM/edit?usp=sharing"",""ตราด!M63"")+IMPORTRANGE(""https://docs.google.com/spreadsheets/d/18hSgUJ3VwClqi_qtULmmW3cLr0oe3OKaSYoKzdpTsYQ/edit?usp=sharing"",""นครนายก!M63"")+IMPORTRANGE(""https://docs.google.com/spreadsheets/d/1YTZo6WM2dQ6Ix6FSdnL5P7uVnVK"&amp;"u40sxZu975tgG10E/edit?usp=sharing"",""นครปฐม!M63"")+IMPORTRANGE(""https://docs.google.com/spreadsheets/d/1OYoGg4WDg5RIzwGeB10padOxJF9E_Vljuvvct_M7RDo/edit?usp=sharing"",""ปทุมธานี!M63"")+IMPORTRANGE(""https://docs.google.com/spreadsheets/d/1GbCIE4D4wk9FUo"&amp;"zzqk7SxfDMxDVBwVmI5zcaVUSzKAc/edit?usp=sharing"",""ประจวบคีรีขันธ์!M63"")+IMPORTRANGE(""https://docs.google.com/spreadsheets/d/1vVf6wykvW_lAyu7Yo9L4hUTqHqIeP_qcVuxCtosJEbg/edit?usp=sharing"",""ปราจีนบุรี!M63"")+IMPORTRANGE(""https://docs.google.com/spread"&amp;"sheets/d/1BIDqLLg5jk3v59G8NlR8rk5xfQDKne0sAvZHSj7TI6I/edit?usp=sharing"",""พระนครศรีอยุธยา!M63"")+IMPORTRANGE(""https://docs.google.com/spreadsheets/d/1YXvxf8Yu6_rV4hTBrwMqAcAnv6DfhUxh5emyM3CJp_w/edit?usp=sharing"",""เพชรบุรี!M63"")+IMPORTRANGE(""https://"&amp;"docs.google.com/spreadsheets/d/19KBlQQs7uwvsao6t2n-KvW3Ax8J8uRRfZPq1zPbXgKc/edit?usp=sharing"",""ระยอง!M63"")+IMPORTRANGE(""https://docs.google.com/spreadsheets/d/1jQ6P4QcrGM89YfqcC_PxOHGCMq5ezhucwJd8ci-NHng/edit?usp=sharing"",""ราชบุรี!M63"")+IMPORTRANGE"&amp;"(""https://docs.google.com/spreadsheets/d/1lufeA2cfFqM-elVq2hznhDzC6Pr7wkJ9ZG_sYNGCMCU/edit?usp=sharing"",""ลพบุรี!M63"")+IMPORTRANGE(""https://docs.google.com/spreadsheets/d/10oOiF7loTyfsTkbd4MpaIm0HQ9SwB7IYHdIUvt-U1Uc/edit?usp=sharing"",""สระแก้ว!M63"")"&amp;"+IMPORTRANGE(""https://docs.google.com/spreadsheets/d/1xmPlrr1QbdSIKvl1dWUl9K4PjAfSL9oeMr_37QVzcxc/edit?usp=sharing"",""สระบุรี!M63"")+IMPORTRANGE(""https://docs.google.com/spreadsheets/d/1j51vR6CYVGhABJpv6tkstgok82RLpXieLzW1yOY5rHw/edit?usp=sharing"",""ส"&amp;"ิงห์บุรี!M63"")+IMPORTRANGE(""https://docs.google.com/spreadsheets/d/1H1EalTWKUSzO4Z1-1CwzoDUaVffgrThEBe2sl74kKG0/edit?usp=sharing"",""สุพรรณบุรี!M63"")+IMPORTRANGE(""https://docs.google.com/spreadsheets/d/1BmIruG_sIrJLYao_Pdr7zVArWsfoBt2692TMi6x_854/edit"&amp;"?usp=sharing"",""อ่างทอง!M63"")"),0)</f>
        <v>0</v>
      </c>
      <c r="N63" s="59">
        <f ca="1">IFERROR(__xludf.DUMMYFUNCTION("IMPORTRANGE(""https://docs.google.com/spreadsheets/d/13wPX838HrBrQMCywv1BsuMkt4PEKTChp52zj44s2izQ/edit?usp=sharing"",""กาญจนบุรี!N63"")+IMPORTRANGE(""https://docs.google.com/spreadsheets/d/1ddFKvqj1W1NEiWytbGlB1zMx_ykJDVtmfEQ-6-lIUBA/edit?usp=sharing"","""&amp;"จันทบุรี!N63"")+IMPORTRANGE(""https://docs.google.com/spreadsheets/d/1T1PQvRODqOBZk8BRht_U031fIS1beLA0Ub2CEytj2q0/edit?usp=sharing"",""ฉะเชิงเทรา!N63"")+IMPORTRANGE(""https://docs.google.com/spreadsheets/d/11tr1B-Bhyr79v2bkwVh5h_fR-PStkgjlZtkrZpYurG0/edit"&amp;"?usp=sharing"",""ชลบุรี!N63"")+IMPORTRANGE(""https://docs.google.com/spreadsheets/d/1hh-FVnSX0vozXhGluamEcS54Dw9_zqW0N7qJUWgJ0Sw/edit?usp=sharing"",""ชัยนาท!N63"")+IMPORTRANGE(""https://docs.google.com/spreadsheets/d/1jkqa6GXxSacMcY1eN8AHjMNJ_7dDXMJVRLDla"&amp;"FSOdPM/edit?usp=sharing"",""ตราด!N63"")+IMPORTRANGE(""https://docs.google.com/spreadsheets/d/18hSgUJ3VwClqi_qtULmmW3cLr0oe3OKaSYoKzdpTsYQ/edit?usp=sharing"",""นครนายก!N63"")+IMPORTRANGE(""https://docs.google.com/spreadsheets/d/1YTZo6WM2dQ6Ix6FSdnL5P7uVnVK"&amp;"u40sxZu975tgG10E/edit?usp=sharing"",""นครปฐม!N63"")+IMPORTRANGE(""https://docs.google.com/spreadsheets/d/1OYoGg4WDg5RIzwGeB10padOxJF9E_Vljuvvct_M7RDo/edit?usp=sharing"",""ปทุมธานี!N63"")+IMPORTRANGE(""https://docs.google.com/spreadsheets/d/1GbCIE4D4wk9FUo"&amp;"zzqk7SxfDMxDVBwVmI5zcaVUSzKAc/edit?usp=sharing"",""ประจวบคีรีขันธ์!N63"")+IMPORTRANGE(""https://docs.google.com/spreadsheets/d/1vVf6wykvW_lAyu7Yo9L4hUTqHqIeP_qcVuxCtosJEbg/edit?usp=sharing"",""ปราจีนบุรี!N63"")+IMPORTRANGE(""https://docs.google.com/spread"&amp;"sheets/d/1BIDqLLg5jk3v59G8NlR8rk5xfQDKne0sAvZHSj7TI6I/edit?usp=sharing"",""พระนครศรีอยุธยา!N63"")+IMPORTRANGE(""https://docs.google.com/spreadsheets/d/1YXvxf8Yu6_rV4hTBrwMqAcAnv6DfhUxh5emyM3CJp_w/edit?usp=sharing"",""เพชรบุรี!N63"")+IMPORTRANGE(""https://"&amp;"docs.google.com/spreadsheets/d/19KBlQQs7uwvsao6t2n-KvW3Ax8J8uRRfZPq1zPbXgKc/edit?usp=sharing"",""ระยอง!N63"")+IMPORTRANGE(""https://docs.google.com/spreadsheets/d/1jQ6P4QcrGM89YfqcC_PxOHGCMq5ezhucwJd8ci-NHng/edit?usp=sharing"",""ราชบุรี!N63"")+IMPORTRANGE"&amp;"(""https://docs.google.com/spreadsheets/d/1lufeA2cfFqM-elVq2hznhDzC6Pr7wkJ9ZG_sYNGCMCU/edit?usp=sharing"",""ลพบุรี!N63"")+IMPORTRANGE(""https://docs.google.com/spreadsheets/d/10oOiF7loTyfsTkbd4MpaIm0HQ9SwB7IYHdIUvt-U1Uc/edit?usp=sharing"",""สระแก้ว!N63"")"&amp;"+IMPORTRANGE(""https://docs.google.com/spreadsheets/d/1xmPlrr1QbdSIKvl1dWUl9K4PjAfSL9oeMr_37QVzcxc/edit?usp=sharing"",""สระบุรี!N63"")+IMPORTRANGE(""https://docs.google.com/spreadsheets/d/1j51vR6CYVGhABJpv6tkstgok82RLpXieLzW1yOY5rHw/edit?usp=sharing"",""ส"&amp;"ิงห์บุรี!N63"")+IMPORTRANGE(""https://docs.google.com/spreadsheets/d/1H1EalTWKUSzO4Z1-1CwzoDUaVffgrThEBe2sl74kKG0/edit?usp=sharing"",""สุพรรณบุรี!N63"")+IMPORTRANGE(""https://docs.google.com/spreadsheets/d/1BmIruG_sIrJLYao_Pdr7zVArWsfoBt2692TMi6x_854/edit"&amp;"?usp=sharing"",""อ่างทอง!N63"")"),0)</f>
        <v>0</v>
      </c>
      <c r="O63" s="59">
        <f t="shared" ca="1" si="24"/>
        <v>0</v>
      </c>
      <c r="P63" s="59">
        <f t="shared" ca="1" si="25"/>
        <v>0</v>
      </c>
    </row>
    <row r="64" spans="1:16" ht="18.75" x14ac:dyDescent="0.25">
      <c r="A64" s="52"/>
      <c r="B64" s="53"/>
      <c r="C64" s="53"/>
      <c r="D64" s="53"/>
      <c r="E64" s="60" t="s">
        <v>19</v>
      </c>
      <c r="F64" s="53"/>
      <c r="G64" s="55"/>
      <c r="H64" s="56" t="s">
        <v>12</v>
      </c>
      <c r="I64" s="57"/>
      <c r="J64" s="57"/>
      <c r="K64" s="58"/>
      <c r="L64" s="59">
        <f ca="1">IFERROR(__xludf.DUMMYFUNCTION("IMPORTRANGE(""https://docs.google.com/spreadsheets/d/13wPX838HrBrQMCywv1BsuMkt4PEKTChp52zj44s2izQ/edit?usp=sharing"",""กาญจนบุรี!L64"")+IMPORTRANGE(""https://docs.google.com/spreadsheets/d/1ddFKvqj1W1NEiWytbGlB1zMx_ykJDVtmfEQ-6-lIUBA/edit?usp=sharing"","""&amp;"จันทบุรี!L64"")+IMPORTRANGE(""https://docs.google.com/spreadsheets/d/1T1PQvRODqOBZk8BRht_U031fIS1beLA0Ub2CEytj2q0/edit?usp=sharing"",""ฉะเชิงเทรา!L64"")+IMPORTRANGE(""https://docs.google.com/spreadsheets/d/11tr1B-Bhyr79v2bkwVh5h_fR-PStkgjlZtkrZpYurG0/edit"&amp;"?usp=sharing"",""ชลบุรี!L64"")+IMPORTRANGE(""https://docs.google.com/spreadsheets/d/1hh-FVnSX0vozXhGluamEcS54Dw9_zqW0N7qJUWgJ0Sw/edit?usp=sharing"",""ชัยนาท!L64"")+IMPORTRANGE(""https://docs.google.com/spreadsheets/d/1jkqa6GXxSacMcY1eN8AHjMNJ_7dDXMJVRLDla"&amp;"FSOdPM/edit?usp=sharing"",""ตราด!L64"")+IMPORTRANGE(""https://docs.google.com/spreadsheets/d/18hSgUJ3VwClqi_qtULmmW3cLr0oe3OKaSYoKzdpTsYQ/edit?usp=sharing"",""นครนายก!L64"")+IMPORTRANGE(""https://docs.google.com/spreadsheets/d/1YTZo6WM2dQ6Ix6FSdnL5P7uVnVK"&amp;"u40sxZu975tgG10E/edit?usp=sharing"",""นครปฐม!L64"")+IMPORTRANGE(""https://docs.google.com/spreadsheets/d/1OYoGg4WDg5RIzwGeB10padOxJF9E_Vljuvvct_M7RDo/edit?usp=sharing"",""ปทุมธานี!L64"")+IMPORTRANGE(""https://docs.google.com/spreadsheets/d/1GbCIE4D4wk9FUo"&amp;"zzqk7SxfDMxDVBwVmI5zcaVUSzKAc/edit?usp=sharing"",""ประจวบคีรีขันธ์!L64"")+IMPORTRANGE(""https://docs.google.com/spreadsheets/d/1vVf6wykvW_lAyu7Yo9L4hUTqHqIeP_qcVuxCtosJEbg/edit?usp=sharing"",""ปราจีนบุรี!L64"")+IMPORTRANGE(""https://docs.google.com/spread"&amp;"sheets/d/1BIDqLLg5jk3v59G8NlR8rk5xfQDKne0sAvZHSj7TI6I/edit?usp=sharing"",""พระนครศรีอยุธยา!L64"")+IMPORTRANGE(""https://docs.google.com/spreadsheets/d/1YXvxf8Yu6_rV4hTBrwMqAcAnv6DfhUxh5emyM3CJp_w/edit?usp=sharing"",""เพชรบุรี!L64"")+IMPORTRANGE(""https://"&amp;"docs.google.com/spreadsheets/d/19KBlQQs7uwvsao6t2n-KvW3Ax8J8uRRfZPq1zPbXgKc/edit?usp=sharing"",""ระยอง!L64"")+IMPORTRANGE(""https://docs.google.com/spreadsheets/d/1jQ6P4QcrGM89YfqcC_PxOHGCMq5ezhucwJd8ci-NHng/edit?usp=sharing"",""ราชบุรี!L64"")+IMPORTRANGE"&amp;"(""https://docs.google.com/spreadsheets/d/1lufeA2cfFqM-elVq2hznhDzC6Pr7wkJ9ZG_sYNGCMCU/edit?usp=sharing"",""ลพบุรี!L64"")+IMPORTRANGE(""https://docs.google.com/spreadsheets/d/10oOiF7loTyfsTkbd4MpaIm0HQ9SwB7IYHdIUvt-U1Uc/edit?usp=sharing"",""สระแก้ว!L64"")"&amp;"+IMPORTRANGE(""https://docs.google.com/spreadsheets/d/1xmPlrr1QbdSIKvl1dWUl9K4PjAfSL9oeMr_37QVzcxc/edit?usp=sharing"",""สระบุรี!L64"")+IMPORTRANGE(""https://docs.google.com/spreadsheets/d/1j51vR6CYVGhABJpv6tkstgok82RLpXieLzW1yOY5rHw/edit?usp=sharing"",""ส"&amp;"ิงห์บุรี!L64"")+IMPORTRANGE(""https://docs.google.com/spreadsheets/d/1H1EalTWKUSzO4Z1-1CwzoDUaVffgrThEBe2sl74kKG0/edit?usp=sharing"",""สุพรรณบุรี!L64"")+IMPORTRANGE(""https://docs.google.com/spreadsheets/d/1BmIruG_sIrJLYao_Pdr7zVArWsfoBt2692TMi6x_854/edit"&amp;"?usp=sharing"",""อ่างทอง!L64"")"),9570900)</f>
        <v>9570900</v>
      </c>
      <c r="M64" s="59">
        <f ca="1">IFERROR(__xludf.DUMMYFUNCTION("IMPORTRANGE(""https://docs.google.com/spreadsheets/d/13wPX838HrBrQMCywv1BsuMkt4PEKTChp52zj44s2izQ/edit?usp=sharing"",""กาญจนบุรี!M64"")+IMPORTRANGE(""https://docs.google.com/spreadsheets/d/1ddFKvqj1W1NEiWytbGlB1zMx_ykJDVtmfEQ-6-lIUBA/edit?usp=sharing"","""&amp;"จันทบุรี!M64"")+IMPORTRANGE(""https://docs.google.com/spreadsheets/d/1T1PQvRODqOBZk8BRht_U031fIS1beLA0Ub2CEytj2q0/edit?usp=sharing"",""ฉะเชิงเทรา!M64"")+IMPORTRANGE(""https://docs.google.com/spreadsheets/d/11tr1B-Bhyr79v2bkwVh5h_fR-PStkgjlZtkrZpYurG0/edit"&amp;"?usp=sharing"",""ชลบุรี!M64"")+IMPORTRANGE(""https://docs.google.com/spreadsheets/d/1hh-FVnSX0vozXhGluamEcS54Dw9_zqW0N7qJUWgJ0Sw/edit?usp=sharing"",""ชัยนาท!M64"")+IMPORTRANGE(""https://docs.google.com/spreadsheets/d/1jkqa6GXxSacMcY1eN8AHjMNJ_7dDXMJVRLDla"&amp;"FSOdPM/edit?usp=sharing"",""ตราด!M64"")+IMPORTRANGE(""https://docs.google.com/spreadsheets/d/18hSgUJ3VwClqi_qtULmmW3cLr0oe3OKaSYoKzdpTsYQ/edit?usp=sharing"",""นครนายก!M64"")+IMPORTRANGE(""https://docs.google.com/spreadsheets/d/1YTZo6WM2dQ6Ix6FSdnL5P7uVnVK"&amp;"u40sxZu975tgG10E/edit?usp=sharing"",""นครปฐม!M64"")+IMPORTRANGE(""https://docs.google.com/spreadsheets/d/1OYoGg4WDg5RIzwGeB10padOxJF9E_Vljuvvct_M7RDo/edit?usp=sharing"",""ปทุมธานี!M64"")+IMPORTRANGE(""https://docs.google.com/spreadsheets/d/1GbCIE4D4wk9FUo"&amp;"zzqk7SxfDMxDVBwVmI5zcaVUSzKAc/edit?usp=sharing"",""ประจวบคีรีขันธ์!M64"")+IMPORTRANGE(""https://docs.google.com/spreadsheets/d/1vVf6wykvW_lAyu7Yo9L4hUTqHqIeP_qcVuxCtosJEbg/edit?usp=sharing"",""ปราจีนบุรี!M64"")+IMPORTRANGE(""https://docs.google.com/spread"&amp;"sheets/d/1BIDqLLg5jk3v59G8NlR8rk5xfQDKne0sAvZHSj7TI6I/edit?usp=sharing"",""พระนครศรีอยุธยา!M64"")+IMPORTRANGE(""https://docs.google.com/spreadsheets/d/1YXvxf8Yu6_rV4hTBrwMqAcAnv6DfhUxh5emyM3CJp_w/edit?usp=sharing"",""เพชรบุรี!M64"")+IMPORTRANGE(""https://"&amp;"docs.google.com/spreadsheets/d/19KBlQQs7uwvsao6t2n-KvW3Ax8J8uRRfZPq1zPbXgKc/edit?usp=sharing"",""ระยอง!M64"")+IMPORTRANGE(""https://docs.google.com/spreadsheets/d/1jQ6P4QcrGM89YfqcC_PxOHGCMq5ezhucwJd8ci-NHng/edit?usp=sharing"",""ราชบุรี!M64"")+IMPORTRANGE"&amp;"(""https://docs.google.com/spreadsheets/d/1lufeA2cfFqM-elVq2hznhDzC6Pr7wkJ9ZG_sYNGCMCU/edit?usp=sharing"",""ลพบุรี!M64"")+IMPORTRANGE(""https://docs.google.com/spreadsheets/d/10oOiF7loTyfsTkbd4MpaIm0HQ9SwB7IYHdIUvt-U1Uc/edit?usp=sharing"",""สระแก้ว!M64"")"&amp;"+IMPORTRANGE(""https://docs.google.com/spreadsheets/d/1xmPlrr1QbdSIKvl1dWUl9K4PjAfSL9oeMr_37QVzcxc/edit?usp=sharing"",""สระบุรี!M64"")+IMPORTRANGE(""https://docs.google.com/spreadsheets/d/1j51vR6CYVGhABJpv6tkstgok82RLpXieLzW1yOY5rHw/edit?usp=sharing"",""ส"&amp;"ิงห์บุรี!M64"")+IMPORTRANGE(""https://docs.google.com/spreadsheets/d/1H1EalTWKUSzO4Z1-1CwzoDUaVffgrThEBe2sl74kKG0/edit?usp=sharing"",""สุพรรณบุรี!M64"")+IMPORTRANGE(""https://docs.google.com/spreadsheets/d/1BmIruG_sIrJLYao_Pdr7zVArWsfoBt2692TMi6x_854/edit"&amp;"?usp=sharing"",""อ่างทอง!M64"")"),7437630)</f>
        <v>7437630</v>
      </c>
      <c r="N64" s="59">
        <f ca="1">IFERROR(__xludf.DUMMYFUNCTION("IMPORTRANGE(""https://docs.google.com/spreadsheets/d/13wPX838HrBrQMCywv1BsuMkt4PEKTChp52zj44s2izQ/edit?usp=sharing"",""กาญจนบุรี!N64"")+IMPORTRANGE(""https://docs.google.com/spreadsheets/d/1ddFKvqj1W1NEiWytbGlB1zMx_ykJDVtmfEQ-6-lIUBA/edit?usp=sharing"","""&amp;"จันทบุรี!N64"")+IMPORTRANGE(""https://docs.google.com/spreadsheets/d/1T1PQvRODqOBZk8BRht_U031fIS1beLA0Ub2CEytj2q0/edit?usp=sharing"",""ฉะเชิงเทรา!N64"")+IMPORTRANGE(""https://docs.google.com/spreadsheets/d/11tr1B-Bhyr79v2bkwVh5h_fR-PStkgjlZtkrZpYurG0/edit"&amp;"?usp=sharing"",""ชลบุรี!N64"")+IMPORTRANGE(""https://docs.google.com/spreadsheets/d/1hh-FVnSX0vozXhGluamEcS54Dw9_zqW0N7qJUWgJ0Sw/edit?usp=sharing"",""ชัยนาท!N64"")+IMPORTRANGE(""https://docs.google.com/spreadsheets/d/1jkqa6GXxSacMcY1eN8AHjMNJ_7dDXMJVRLDla"&amp;"FSOdPM/edit?usp=sharing"",""ตราด!N64"")+IMPORTRANGE(""https://docs.google.com/spreadsheets/d/18hSgUJ3VwClqi_qtULmmW3cLr0oe3OKaSYoKzdpTsYQ/edit?usp=sharing"",""นครนายก!N64"")+IMPORTRANGE(""https://docs.google.com/spreadsheets/d/1YTZo6WM2dQ6Ix6FSdnL5P7uVnVK"&amp;"u40sxZu975tgG10E/edit?usp=sharing"",""นครปฐม!N64"")+IMPORTRANGE(""https://docs.google.com/spreadsheets/d/1OYoGg4WDg5RIzwGeB10padOxJF9E_Vljuvvct_M7RDo/edit?usp=sharing"",""ปทุมธานี!N64"")+IMPORTRANGE(""https://docs.google.com/spreadsheets/d/1GbCIE4D4wk9FUo"&amp;"zzqk7SxfDMxDVBwVmI5zcaVUSzKAc/edit?usp=sharing"",""ประจวบคีรีขันธ์!N64"")+IMPORTRANGE(""https://docs.google.com/spreadsheets/d/1vVf6wykvW_lAyu7Yo9L4hUTqHqIeP_qcVuxCtosJEbg/edit?usp=sharing"",""ปราจีนบุรี!N64"")+IMPORTRANGE(""https://docs.google.com/spread"&amp;"sheets/d/1BIDqLLg5jk3v59G8NlR8rk5xfQDKne0sAvZHSj7TI6I/edit?usp=sharing"",""พระนครศรีอยุธยา!N64"")+IMPORTRANGE(""https://docs.google.com/spreadsheets/d/1YXvxf8Yu6_rV4hTBrwMqAcAnv6DfhUxh5emyM3CJp_w/edit?usp=sharing"",""เพชรบุรี!N64"")+IMPORTRANGE(""https://"&amp;"docs.google.com/spreadsheets/d/19KBlQQs7uwvsao6t2n-KvW3Ax8J8uRRfZPq1zPbXgKc/edit?usp=sharing"",""ระยอง!N64"")+IMPORTRANGE(""https://docs.google.com/spreadsheets/d/1jQ6P4QcrGM89YfqcC_PxOHGCMq5ezhucwJd8ci-NHng/edit?usp=sharing"",""ราชบุรี!N64"")+IMPORTRANGE"&amp;"(""https://docs.google.com/spreadsheets/d/1lufeA2cfFqM-elVq2hznhDzC6Pr7wkJ9ZG_sYNGCMCU/edit?usp=sharing"",""ลพบุรี!N64"")+IMPORTRANGE(""https://docs.google.com/spreadsheets/d/10oOiF7loTyfsTkbd4MpaIm0HQ9SwB7IYHdIUvt-U1Uc/edit?usp=sharing"",""สระแก้ว!N64"")"&amp;"+IMPORTRANGE(""https://docs.google.com/spreadsheets/d/1xmPlrr1QbdSIKvl1dWUl9K4PjAfSL9oeMr_37QVzcxc/edit?usp=sharing"",""สระบุรี!N64"")+IMPORTRANGE(""https://docs.google.com/spreadsheets/d/1j51vR6CYVGhABJpv6tkstgok82RLpXieLzW1yOY5rHw/edit?usp=sharing"",""ส"&amp;"ิงห์บุรี!N64"")+IMPORTRANGE(""https://docs.google.com/spreadsheets/d/1H1EalTWKUSzO4Z1-1CwzoDUaVffgrThEBe2sl74kKG0/edit?usp=sharing"",""สุพรรณบุรี!N64"")+IMPORTRANGE(""https://docs.google.com/spreadsheets/d/1BmIruG_sIrJLYao_Pdr7zVArWsfoBt2692TMi6x_854/edit"&amp;"?usp=sharing"",""อ่างทอง!N64"")"),4849244.54)</f>
        <v>4849244.54</v>
      </c>
      <c r="O64" s="59">
        <f t="shared" ca="1" si="24"/>
        <v>50.666546928710986</v>
      </c>
      <c r="P64" s="59">
        <f t="shared" ca="1" si="25"/>
        <v>65.19878697918557</v>
      </c>
    </row>
    <row r="65" spans="1:16" ht="18.75" x14ac:dyDescent="0.25">
      <c r="A65" s="52"/>
      <c r="B65" s="53"/>
      <c r="C65" s="53"/>
      <c r="D65" s="54" t="s">
        <v>21</v>
      </c>
      <c r="E65" s="53"/>
      <c r="F65" s="53"/>
      <c r="G65" s="55"/>
      <c r="H65" s="56" t="s">
        <v>12</v>
      </c>
      <c r="I65" s="57"/>
      <c r="J65" s="57"/>
      <c r="K65" s="58"/>
      <c r="L65" s="59">
        <f t="shared" ref="L65:N65" ca="1" si="29">L66+L67</f>
        <v>0</v>
      </c>
      <c r="M65" s="59">
        <f t="shared" ca="1" si="29"/>
        <v>0</v>
      </c>
      <c r="N65" s="59">
        <f t="shared" ca="1" si="29"/>
        <v>0</v>
      </c>
      <c r="O65" s="59">
        <f t="shared" ca="1" si="24"/>
        <v>0</v>
      </c>
      <c r="P65" s="59">
        <f t="shared" ca="1" si="25"/>
        <v>0</v>
      </c>
    </row>
    <row r="66" spans="1:16" ht="18.75" x14ac:dyDescent="0.25">
      <c r="A66" s="52"/>
      <c r="B66" s="53"/>
      <c r="C66" s="53"/>
      <c r="D66" s="53"/>
      <c r="E66" s="60" t="s">
        <v>18</v>
      </c>
      <c r="F66" s="53"/>
      <c r="G66" s="55"/>
      <c r="H66" s="56" t="s">
        <v>12</v>
      </c>
      <c r="I66" s="57"/>
      <c r="J66" s="57"/>
      <c r="K66" s="58"/>
      <c r="L66" s="59">
        <f ca="1">IFERROR(__xludf.DUMMYFUNCTION("IMPORTRANGE(""https://docs.google.com/spreadsheets/d/13wPX838HrBrQMCywv1BsuMkt4PEKTChp52zj44s2izQ/edit?usp=sharing"",""กาญจนบุรี!L66"")+IMPORTRANGE(""https://docs.google.com/spreadsheets/d/1ddFKvqj1W1NEiWytbGlB1zMx_ykJDVtmfEQ-6-lIUBA/edit?usp=sharing"","""&amp;"จันทบุรี!L66"")+IMPORTRANGE(""https://docs.google.com/spreadsheets/d/1T1PQvRODqOBZk8BRht_U031fIS1beLA0Ub2CEytj2q0/edit?usp=sharing"",""ฉะเชิงเทรา!L66"")+IMPORTRANGE(""https://docs.google.com/spreadsheets/d/11tr1B-Bhyr79v2bkwVh5h_fR-PStkgjlZtkrZpYurG0/edit"&amp;"?usp=sharing"",""ชลบุรี!L66"")+IMPORTRANGE(""https://docs.google.com/spreadsheets/d/1hh-FVnSX0vozXhGluamEcS54Dw9_zqW0N7qJUWgJ0Sw/edit?usp=sharing"",""ชัยนาท!L66"")+IMPORTRANGE(""https://docs.google.com/spreadsheets/d/1jkqa6GXxSacMcY1eN8AHjMNJ_7dDXMJVRLDla"&amp;"FSOdPM/edit?usp=sharing"",""ตราด!L66"")+IMPORTRANGE(""https://docs.google.com/spreadsheets/d/18hSgUJ3VwClqi_qtULmmW3cLr0oe3OKaSYoKzdpTsYQ/edit?usp=sharing"",""นครนายก!L66"")+IMPORTRANGE(""https://docs.google.com/spreadsheets/d/1YTZo6WM2dQ6Ix6FSdnL5P7uVnVK"&amp;"u40sxZu975tgG10E/edit?usp=sharing"",""นครปฐม!L66"")+IMPORTRANGE(""https://docs.google.com/spreadsheets/d/1OYoGg4WDg5RIzwGeB10padOxJF9E_Vljuvvct_M7RDo/edit?usp=sharing"",""ปทุมธานี!L66"")+IMPORTRANGE(""https://docs.google.com/spreadsheets/d/1GbCIE4D4wk9FUo"&amp;"zzqk7SxfDMxDVBwVmI5zcaVUSzKAc/edit?usp=sharing"",""ประจวบคีรีขันธ์!L66"")+IMPORTRANGE(""https://docs.google.com/spreadsheets/d/1vVf6wykvW_lAyu7Yo9L4hUTqHqIeP_qcVuxCtosJEbg/edit?usp=sharing"",""ปราจีนบุรี!L66"")+IMPORTRANGE(""https://docs.google.com/spread"&amp;"sheets/d/1BIDqLLg5jk3v59G8NlR8rk5xfQDKne0sAvZHSj7TI6I/edit?usp=sharing"",""พระนครศรีอยุธยา!L66"")+IMPORTRANGE(""https://docs.google.com/spreadsheets/d/1YXvxf8Yu6_rV4hTBrwMqAcAnv6DfhUxh5emyM3CJp_w/edit?usp=sharing"",""เพชรบุรี!L66"")+IMPORTRANGE(""https://"&amp;"docs.google.com/spreadsheets/d/19KBlQQs7uwvsao6t2n-KvW3Ax8J8uRRfZPq1zPbXgKc/edit?usp=sharing"",""ระยอง!L66"")+IMPORTRANGE(""https://docs.google.com/spreadsheets/d/1jQ6P4QcrGM89YfqcC_PxOHGCMq5ezhucwJd8ci-NHng/edit?usp=sharing"",""ราชบุรี!L66"")+IMPORTRANGE"&amp;"(""https://docs.google.com/spreadsheets/d/1lufeA2cfFqM-elVq2hznhDzC6Pr7wkJ9ZG_sYNGCMCU/edit?usp=sharing"",""ลพบุรี!L66"")+IMPORTRANGE(""https://docs.google.com/spreadsheets/d/10oOiF7loTyfsTkbd4MpaIm0HQ9SwB7IYHdIUvt-U1Uc/edit?usp=sharing"",""สระแก้ว!L66"")"&amp;"+IMPORTRANGE(""https://docs.google.com/spreadsheets/d/1xmPlrr1QbdSIKvl1dWUl9K4PjAfSL9oeMr_37QVzcxc/edit?usp=sharing"",""สระบุรี!L66"")+IMPORTRANGE(""https://docs.google.com/spreadsheets/d/1j51vR6CYVGhABJpv6tkstgok82RLpXieLzW1yOY5rHw/edit?usp=sharing"",""ส"&amp;"ิงห์บุรี!L66"")+IMPORTRANGE(""https://docs.google.com/spreadsheets/d/1H1EalTWKUSzO4Z1-1CwzoDUaVffgrThEBe2sl74kKG0/edit?usp=sharing"",""สุพรรณบุรี!L66"")+IMPORTRANGE(""https://docs.google.com/spreadsheets/d/1BmIruG_sIrJLYao_Pdr7zVArWsfoBt2692TMi6x_854/edit"&amp;"?usp=sharing"",""อ่างทอง!L66"")"),0)</f>
        <v>0</v>
      </c>
      <c r="M66" s="59">
        <f ca="1">IFERROR(__xludf.DUMMYFUNCTION("IMPORTRANGE(""https://docs.google.com/spreadsheets/d/13wPX838HrBrQMCywv1BsuMkt4PEKTChp52zj44s2izQ/edit?usp=sharing"",""กาญจนบุรี!M66"")+IMPORTRANGE(""https://docs.google.com/spreadsheets/d/1ddFKvqj1W1NEiWytbGlB1zMx_ykJDVtmfEQ-6-lIUBA/edit?usp=sharing"","""&amp;"จันทบุรี!M66"")+IMPORTRANGE(""https://docs.google.com/spreadsheets/d/1T1PQvRODqOBZk8BRht_U031fIS1beLA0Ub2CEytj2q0/edit?usp=sharing"",""ฉะเชิงเทรา!M66"")+IMPORTRANGE(""https://docs.google.com/spreadsheets/d/11tr1B-Bhyr79v2bkwVh5h_fR-PStkgjlZtkrZpYurG0/edit"&amp;"?usp=sharing"",""ชลบุรี!M66"")+IMPORTRANGE(""https://docs.google.com/spreadsheets/d/1hh-FVnSX0vozXhGluamEcS54Dw9_zqW0N7qJUWgJ0Sw/edit?usp=sharing"",""ชัยนาท!M66"")+IMPORTRANGE(""https://docs.google.com/spreadsheets/d/1jkqa6GXxSacMcY1eN8AHjMNJ_7dDXMJVRLDla"&amp;"FSOdPM/edit?usp=sharing"",""ตราด!M66"")+IMPORTRANGE(""https://docs.google.com/spreadsheets/d/18hSgUJ3VwClqi_qtULmmW3cLr0oe3OKaSYoKzdpTsYQ/edit?usp=sharing"",""นครนายก!M66"")+IMPORTRANGE(""https://docs.google.com/spreadsheets/d/1YTZo6WM2dQ6Ix6FSdnL5P7uVnVK"&amp;"u40sxZu975tgG10E/edit?usp=sharing"",""นครปฐม!M66"")+IMPORTRANGE(""https://docs.google.com/spreadsheets/d/1OYoGg4WDg5RIzwGeB10padOxJF9E_Vljuvvct_M7RDo/edit?usp=sharing"",""ปทุมธานี!M66"")+IMPORTRANGE(""https://docs.google.com/spreadsheets/d/1GbCIE4D4wk9FUo"&amp;"zzqk7SxfDMxDVBwVmI5zcaVUSzKAc/edit?usp=sharing"",""ประจวบคีรีขันธ์!M66"")+IMPORTRANGE(""https://docs.google.com/spreadsheets/d/1vVf6wykvW_lAyu7Yo9L4hUTqHqIeP_qcVuxCtosJEbg/edit?usp=sharing"",""ปราจีนบุรี!M66"")+IMPORTRANGE(""https://docs.google.com/spread"&amp;"sheets/d/1BIDqLLg5jk3v59G8NlR8rk5xfQDKne0sAvZHSj7TI6I/edit?usp=sharing"",""พระนครศรีอยุธยา!M66"")+IMPORTRANGE(""https://docs.google.com/spreadsheets/d/1YXvxf8Yu6_rV4hTBrwMqAcAnv6DfhUxh5emyM3CJp_w/edit?usp=sharing"",""เพชรบุรี!M66"")+IMPORTRANGE(""https://"&amp;"docs.google.com/spreadsheets/d/19KBlQQs7uwvsao6t2n-KvW3Ax8J8uRRfZPq1zPbXgKc/edit?usp=sharing"",""ระยอง!M66"")+IMPORTRANGE(""https://docs.google.com/spreadsheets/d/1jQ6P4QcrGM89YfqcC_PxOHGCMq5ezhucwJd8ci-NHng/edit?usp=sharing"",""ราชบุรี!M66"")+IMPORTRANGE"&amp;"(""https://docs.google.com/spreadsheets/d/1lufeA2cfFqM-elVq2hznhDzC6Pr7wkJ9ZG_sYNGCMCU/edit?usp=sharing"",""ลพบุรี!M66"")+IMPORTRANGE(""https://docs.google.com/spreadsheets/d/10oOiF7loTyfsTkbd4MpaIm0HQ9SwB7IYHdIUvt-U1Uc/edit?usp=sharing"",""สระแก้ว!M66"")"&amp;"+IMPORTRANGE(""https://docs.google.com/spreadsheets/d/1xmPlrr1QbdSIKvl1dWUl9K4PjAfSL9oeMr_37QVzcxc/edit?usp=sharing"",""สระบุรี!M66"")+IMPORTRANGE(""https://docs.google.com/spreadsheets/d/1j51vR6CYVGhABJpv6tkstgok82RLpXieLzW1yOY5rHw/edit?usp=sharing"",""ส"&amp;"ิงห์บุรี!M66"")+IMPORTRANGE(""https://docs.google.com/spreadsheets/d/1H1EalTWKUSzO4Z1-1CwzoDUaVffgrThEBe2sl74kKG0/edit?usp=sharing"",""สุพรรณบุรี!M66"")+IMPORTRANGE(""https://docs.google.com/spreadsheets/d/1BmIruG_sIrJLYao_Pdr7zVArWsfoBt2692TMi6x_854/edit"&amp;"?usp=sharing"",""อ่างทอง!M66"")"),0)</f>
        <v>0</v>
      </c>
      <c r="N66" s="59">
        <f ca="1">IFERROR(__xludf.DUMMYFUNCTION("IMPORTRANGE(""https://docs.google.com/spreadsheets/d/13wPX838HrBrQMCywv1BsuMkt4PEKTChp52zj44s2izQ/edit?usp=sharing"",""กาญจนบุรี!N66"")+IMPORTRANGE(""https://docs.google.com/spreadsheets/d/1ddFKvqj1W1NEiWytbGlB1zMx_ykJDVtmfEQ-6-lIUBA/edit?usp=sharing"","""&amp;"จันทบุรี!N66"")+IMPORTRANGE(""https://docs.google.com/spreadsheets/d/1T1PQvRODqOBZk8BRht_U031fIS1beLA0Ub2CEytj2q0/edit?usp=sharing"",""ฉะเชิงเทรา!N66"")+IMPORTRANGE(""https://docs.google.com/spreadsheets/d/11tr1B-Bhyr79v2bkwVh5h_fR-PStkgjlZtkrZpYurG0/edit"&amp;"?usp=sharing"",""ชลบุรี!N66"")+IMPORTRANGE(""https://docs.google.com/spreadsheets/d/1hh-FVnSX0vozXhGluamEcS54Dw9_zqW0N7qJUWgJ0Sw/edit?usp=sharing"",""ชัยนาท!N66"")+IMPORTRANGE(""https://docs.google.com/spreadsheets/d/1jkqa6GXxSacMcY1eN8AHjMNJ_7dDXMJVRLDla"&amp;"FSOdPM/edit?usp=sharing"",""ตราด!N66"")+IMPORTRANGE(""https://docs.google.com/spreadsheets/d/18hSgUJ3VwClqi_qtULmmW3cLr0oe3OKaSYoKzdpTsYQ/edit?usp=sharing"",""นครนายก!N66"")+IMPORTRANGE(""https://docs.google.com/spreadsheets/d/1YTZo6WM2dQ6Ix6FSdnL5P7uVnVK"&amp;"u40sxZu975tgG10E/edit?usp=sharing"",""นครปฐม!N66"")+IMPORTRANGE(""https://docs.google.com/spreadsheets/d/1OYoGg4WDg5RIzwGeB10padOxJF9E_Vljuvvct_M7RDo/edit?usp=sharing"",""ปทุมธานี!N66"")+IMPORTRANGE(""https://docs.google.com/spreadsheets/d/1GbCIE4D4wk9FUo"&amp;"zzqk7SxfDMxDVBwVmI5zcaVUSzKAc/edit?usp=sharing"",""ประจวบคีรีขันธ์!N66"")+IMPORTRANGE(""https://docs.google.com/spreadsheets/d/1vVf6wykvW_lAyu7Yo9L4hUTqHqIeP_qcVuxCtosJEbg/edit?usp=sharing"",""ปราจีนบุรี!N66"")+IMPORTRANGE(""https://docs.google.com/spread"&amp;"sheets/d/1BIDqLLg5jk3v59G8NlR8rk5xfQDKne0sAvZHSj7TI6I/edit?usp=sharing"",""พระนครศรีอยุธยา!N66"")+IMPORTRANGE(""https://docs.google.com/spreadsheets/d/1YXvxf8Yu6_rV4hTBrwMqAcAnv6DfhUxh5emyM3CJp_w/edit?usp=sharing"",""เพชรบุรี!N66"")+IMPORTRANGE(""https://"&amp;"docs.google.com/spreadsheets/d/19KBlQQs7uwvsao6t2n-KvW3Ax8J8uRRfZPq1zPbXgKc/edit?usp=sharing"",""ระยอง!N66"")+IMPORTRANGE(""https://docs.google.com/spreadsheets/d/1jQ6P4QcrGM89YfqcC_PxOHGCMq5ezhucwJd8ci-NHng/edit?usp=sharing"",""ราชบุรี!N66"")+IMPORTRANGE"&amp;"(""https://docs.google.com/spreadsheets/d/1lufeA2cfFqM-elVq2hznhDzC6Pr7wkJ9ZG_sYNGCMCU/edit?usp=sharing"",""ลพบุรี!N66"")+IMPORTRANGE(""https://docs.google.com/spreadsheets/d/10oOiF7loTyfsTkbd4MpaIm0HQ9SwB7IYHdIUvt-U1Uc/edit?usp=sharing"",""สระแก้ว!N66"")"&amp;"+IMPORTRANGE(""https://docs.google.com/spreadsheets/d/1xmPlrr1QbdSIKvl1dWUl9K4PjAfSL9oeMr_37QVzcxc/edit?usp=sharing"",""สระบุรี!N66"")+IMPORTRANGE(""https://docs.google.com/spreadsheets/d/1j51vR6CYVGhABJpv6tkstgok82RLpXieLzW1yOY5rHw/edit?usp=sharing"",""ส"&amp;"ิงห์บุรี!N66"")+IMPORTRANGE(""https://docs.google.com/spreadsheets/d/1H1EalTWKUSzO4Z1-1CwzoDUaVffgrThEBe2sl74kKG0/edit?usp=sharing"",""สุพรรณบุรี!N66"")+IMPORTRANGE(""https://docs.google.com/spreadsheets/d/1BmIruG_sIrJLYao_Pdr7zVArWsfoBt2692TMi6x_854/edit"&amp;"?usp=sharing"",""อ่างทอง!N66"")"),0)</f>
        <v>0</v>
      </c>
      <c r="O66" s="59">
        <f t="shared" ca="1" si="24"/>
        <v>0</v>
      </c>
      <c r="P66" s="59">
        <f t="shared" ca="1" si="25"/>
        <v>0</v>
      </c>
    </row>
    <row r="67" spans="1:16" ht="18.75" x14ac:dyDescent="0.25">
      <c r="A67" s="133"/>
      <c r="B67" s="1"/>
      <c r="C67" s="1"/>
      <c r="D67" s="1"/>
      <c r="E67" s="134" t="s">
        <v>19</v>
      </c>
      <c r="F67" s="1"/>
      <c r="G67" s="135"/>
      <c r="H67" s="136" t="s">
        <v>12</v>
      </c>
      <c r="I67" s="137"/>
      <c r="J67" s="137"/>
      <c r="K67" s="138"/>
      <c r="L67" s="139">
        <f ca="1">IFERROR(__xludf.DUMMYFUNCTION("IMPORTRANGE(""https://docs.google.com/spreadsheets/d/13wPX838HrBrQMCywv1BsuMkt4PEKTChp52zj44s2izQ/edit?usp=sharing"",""กาญจนบุรี!L67"")+IMPORTRANGE(""https://docs.google.com/spreadsheets/d/1ddFKvqj1W1NEiWytbGlB1zMx_ykJDVtmfEQ-6-lIUBA/edit?usp=sharing"","""&amp;"จันทบุรี!L67"")+IMPORTRANGE(""https://docs.google.com/spreadsheets/d/1T1PQvRODqOBZk8BRht_U031fIS1beLA0Ub2CEytj2q0/edit?usp=sharing"",""ฉะเชิงเทรา!L67"")+IMPORTRANGE(""https://docs.google.com/spreadsheets/d/11tr1B-Bhyr79v2bkwVh5h_fR-PStkgjlZtkrZpYurG0/edit"&amp;"?usp=sharing"",""ชลบุรี!L67"")+IMPORTRANGE(""https://docs.google.com/spreadsheets/d/1hh-FVnSX0vozXhGluamEcS54Dw9_zqW0N7qJUWgJ0Sw/edit?usp=sharing"",""ชัยนาท!L67"")+IMPORTRANGE(""https://docs.google.com/spreadsheets/d/1jkqa6GXxSacMcY1eN8AHjMNJ_7dDXMJVRLDla"&amp;"FSOdPM/edit?usp=sharing"",""ตราด!L67"")+IMPORTRANGE(""https://docs.google.com/spreadsheets/d/18hSgUJ3VwClqi_qtULmmW3cLr0oe3OKaSYoKzdpTsYQ/edit?usp=sharing"",""นครนายก!L67"")+IMPORTRANGE(""https://docs.google.com/spreadsheets/d/1YTZo6WM2dQ6Ix6FSdnL5P7uVnVK"&amp;"u40sxZu975tgG10E/edit?usp=sharing"",""นครปฐม!L67"")+IMPORTRANGE(""https://docs.google.com/spreadsheets/d/1OYoGg4WDg5RIzwGeB10padOxJF9E_Vljuvvct_M7RDo/edit?usp=sharing"",""ปทุมธานี!L67"")+IMPORTRANGE(""https://docs.google.com/spreadsheets/d/1GbCIE4D4wk9FUo"&amp;"zzqk7SxfDMxDVBwVmI5zcaVUSzKAc/edit?usp=sharing"",""ประจวบคีรีขันธ์!L67"")+IMPORTRANGE(""https://docs.google.com/spreadsheets/d/1vVf6wykvW_lAyu7Yo9L4hUTqHqIeP_qcVuxCtosJEbg/edit?usp=sharing"",""ปราจีนบุรี!L67"")+IMPORTRANGE(""https://docs.google.com/spread"&amp;"sheets/d/1BIDqLLg5jk3v59G8NlR8rk5xfQDKne0sAvZHSj7TI6I/edit?usp=sharing"",""พระนครศรีอยุธยา!L67"")+IMPORTRANGE(""https://docs.google.com/spreadsheets/d/1YXvxf8Yu6_rV4hTBrwMqAcAnv6DfhUxh5emyM3CJp_w/edit?usp=sharing"",""เพชรบุรี!L67"")+IMPORTRANGE(""https://"&amp;"docs.google.com/spreadsheets/d/19KBlQQs7uwvsao6t2n-KvW3Ax8J8uRRfZPq1zPbXgKc/edit?usp=sharing"",""ระยอง!L67"")+IMPORTRANGE(""https://docs.google.com/spreadsheets/d/1jQ6P4QcrGM89YfqcC_PxOHGCMq5ezhucwJd8ci-NHng/edit?usp=sharing"",""ราชบุรี!L67"")+IMPORTRANGE"&amp;"(""https://docs.google.com/spreadsheets/d/1lufeA2cfFqM-elVq2hznhDzC6Pr7wkJ9ZG_sYNGCMCU/edit?usp=sharing"",""ลพบุรี!L67"")+IMPORTRANGE(""https://docs.google.com/spreadsheets/d/10oOiF7loTyfsTkbd4MpaIm0HQ9SwB7IYHdIUvt-U1Uc/edit?usp=sharing"",""สระแก้ว!L67"")"&amp;"+IMPORTRANGE(""https://docs.google.com/spreadsheets/d/1xmPlrr1QbdSIKvl1dWUl9K4PjAfSL9oeMr_37QVzcxc/edit?usp=sharing"",""สระบุรี!L67"")+IMPORTRANGE(""https://docs.google.com/spreadsheets/d/1j51vR6CYVGhABJpv6tkstgok82RLpXieLzW1yOY5rHw/edit?usp=sharing"",""ส"&amp;"ิงห์บุรี!L67"")+IMPORTRANGE(""https://docs.google.com/spreadsheets/d/1H1EalTWKUSzO4Z1-1CwzoDUaVffgrThEBe2sl74kKG0/edit?usp=sharing"",""สุพรรณบุรี!L67"")+IMPORTRANGE(""https://docs.google.com/spreadsheets/d/1BmIruG_sIrJLYao_Pdr7zVArWsfoBt2692TMi6x_854/edit"&amp;"?usp=sharing"",""อ่างทอง!L67"")"),0)</f>
        <v>0</v>
      </c>
      <c r="M67" s="139">
        <f ca="1">IFERROR(__xludf.DUMMYFUNCTION("IMPORTRANGE(""https://docs.google.com/spreadsheets/d/13wPX838HrBrQMCywv1BsuMkt4PEKTChp52zj44s2izQ/edit?usp=sharing"",""กาญจนบุรี!M67"")+IMPORTRANGE(""https://docs.google.com/spreadsheets/d/1ddFKvqj1W1NEiWytbGlB1zMx_ykJDVtmfEQ-6-lIUBA/edit?usp=sharing"","""&amp;"จันทบุรี!M67"")+IMPORTRANGE(""https://docs.google.com/spreadsheets/d/1T1PQvRODqOBZk8BRht_U031fIS1beLA0Ub2CEytj2q0/edit?usp=sharing"",""ฉะเชิงเทรา!M67"")+IMPORTRANGE(""https://docs.google.com/spreadsheets/d/11tr1B-Bhyr79v2bkwVh5h_fR-PStkgjlZtkrZpYurG0/edit"&amp;"?usp=sharing"",""ชลบุรี!M67"")+IMPORTRANGE(""https://docs.google.com/spreadsheets/d/1hh-FVnSX0vozXhGluamEcS54Dw9_zqW0N7qJUWgJ0Sw/edit?usp=sharing"",""ชัยนาท!M67"")+IMPORTRANGE(""https://docs.google.com/spreadsheets/d/1jkqa6GXxSacMcY1eN8AHjMNJ_7dDXMJVRLDla"&amp;"FSOdPM/edit?usp=sharing"",""ตราด!M67"")+IMPORTRANGE(""https://docs.google.com/spreadsheets/d/18hSgUJ3VwClqi_qtULmmW3cLr0oe3OKaSYoKzdpTsYQ/edit?usp=sharing"",""นครนายก!M67"")+IMPORTRANGE(""https://docs.google.com/spreadsheets/d/1YTZo6WM2dQ6Ix6FSdnL5P7uVnVK"&amp;"u40sxZu975tgG10E/edit?usp=sharing"",""นครปฐม!M67"")+IMPORTRANGE(""https://docs.google.com/spreadsheets/d/1OYoGg4WDg5RIzwGeB10padOxJF9E_Vljuvvct_M7RDo/edit?usp=sharing"",""ปทุมธานี!M67"")+IMPORTRANGE(""https://docs.google.com/spreadsheets/d/1GbCIE4D4wk9FUo"&amp;"zzqk7SxfDMxDVBwVmI5zcaVUSzKAc/edit?usp=sharing"",""ประจวบคีรีขันธ์!M67"")+IMPORTRANGE(""https://docs.google.com/spreadsheets/d/1vVf6wykvW_lAyu7Yo9L4hUTqHqIeP_qcVuxCtosJEbg/edit?usp=sharing"",""ปราจีนบุรี!M67"")+IMPORTRANGE(""https://docs.google.com/spread"&amp;"sheets/d/1BIDqLLg5jk3v59G8NlR8rk5xfQDKne0sAvZHSj7TI6I/edit?usp=sharing"",""พระนครศรีอยุธยา!M67"")+IMPORTRANGE(""https://docs.google.com/spreadsheets/d/1YXvxf8Yu6_rV4hTBrwMqAcAnv6DfhUxh5emyM3CJp_w/edit?usp=sharing"",""เพชรบุรี!M67"")+IMPORTRANGE(""https://"&amp;"docs.google.com/spreadsheets/d/19KBlQQs7uwvsao6t2n-KvW3Ax8J8uRRfZPq1zPbXgKc/edit?usp=sharing"",""ระยอง!M67"")+IMPORTRANGE(""https://docs.google.com/spreadsheets/d/1jQ6P4QcrGM89YfqcC_PxOHGCMq5ezhucwJd8ci-NHng/edit?usp=sharing"",""ราชบุรี!M67"")+IMPORTRANGE"&amp;"(""https://docs.google.com/spreadsheets/d/1lufeA2cfFqM-elVq2hznhDzC6Pr7wkJ9ZG_sYNGCMCU/edit?usp=sharing"",""ลพบุรี!M67"")+IMPORTRANGE(""https://docs.google.com/spreadsheets/d/10oOiF7loTyfsTkbd4MpaIm0HQ9SwB7IYHdIUvt-U1Uc/edit?usp=sharing"",""สระแก้ว!M67"")"&amp;"+IMPORTRANGE(""https://docs.google.com/spreadsheets/d/1xmPlrr1QbdSIKvl1dWUl9K4PjAfSL9oeMr_37QVzcxc/edit?usp=sharing"",""สระบุรี!M67"")+IMPORTRANGE(""https://docs.google.com/spreadsheets/d/1j51vR6CYVGhABJpv6tkstgok82RLpXieLzW1yOY5rHw/edit?usp=sharing"",""ส"&amp;"ิงห์บุรี!M67"")+IMPORTRANGE(""https://docs.google.com/spreadsheets/d/1H1EalTWKUSzO4Z1-1CwzoDUaVffgrThEBe2sl74kKG0/edit?usp=sharing"",""สุพรรณบุรี!M67"")+IMPORTRANGE(""https://docs.google.com/spreadsheets/d/1BmIruG_sIrJLYao_Pdr7zVArWsfoBt2692TMi6x_854/edit"&amp;"?usp=sharing"",""อ่างทอง!M67"")"),0)</f>
        <v>0</v>
      </c>
      <c r="N67" s="139">
        <f ca="1">IFERROR(__xludf.DUMMYFUNCTION("IMPORTRANGE(""https://docs.google.com/spreadsheets/d/13wPX838HrBrQMCywv1BsuMkt4PEKTChp52zj44s2izQ/edit?usp=sharing"",""กาญจนบุรี!N67"")+IMPORTRANGE(""https://docs.google.com/spreadsheets/d/1ddFKvqj1W1NEiWytbGlB1zMx_ykJDVtmfEQ-6-lIUBA/edit?usp=sharing"","""&amp;"จันทบุรี!N67"")+IMPORTRANGE(""https://docs.google.com/spreadsheets/d/1T1PQvRODqOBZk8BRht_U031fIS1beLA0Ub2CEytj2q0/edit?usp=sharing"",""ฉะเชิงเทรา!N67"")+IMPORTRANGE(""https://docs.google.com/spreadsheets/d/11tr1B-Bhyr79v2bkwVh5h_fR-PStkgjlZtkrZpYurG0/edit"&amp;"?usp=sharing"",""ชลบุรี!N67"")+IMPORTRANGE(""https://docs.google.com/spreadsheets/d/1hh-FVnSX0vozXhGluamEcS54Dw9_zqW0N7qJUWgJ0Sw/edit?usp=sharing"",""ชัยนาท!N67"")+IMPORTRANGE(""https://docs.google.com/spreadsheets/d/1jkqa6GXxSacMcY1eN8AHjMNJ_7dDXMJVRLDla"&amp;"FSOdPM/edit?usp=sharing"",""ตราด!N67"")+IMPORTRANGE(""https://docs.google.com/spreadsheets/d/18hSgUJ3VwClqi_qtULmmW3cLr0oe3OKaSYoKzdpTsYQ/edit?usp=sharing"",""นครนายก!N67"")+IMPORTRANGE(""https://docs.google.com/spreadsheets/d/1YTZo6WM2dQ6Ix6FSdnL5P7uVnVK"&amp;"u40sxZu975tgG10E/edit?usp=sharing"",""นครปฐม!N67"")+IMPORTRANGE(""https://docs.google.com/spreadsheets/d/1OYoGg4WDg5RIzwGeB10padOxJF9E_Vljuvvct_M7RDo/edit?usp=sharing"",""ปทุมธานี!N67"")+IMPORTRANGE(""https://docs.google.com/spreadsheets/d/1GbCIE4D4wk9FUo"&amp;"zzqk7SxfDMxDVBwVmI5zcaVUSzKAc/edit?usp=sharing"",""ประจวบคีรีขันธ์!N67"")+IMPORTRANGE(""https://docs.google.com/spreadsheets/d/1vVf6wykvW_lAyu7Yo9L4hUTqHqIeP_qcVuxCtosJEbg/edit?usp=sharing"",""ปราจีนบุรี!N67"")+IMPORTRANGE(""https://docs.google.com/spread"&amp;"sheets/d/1BIDqLLg5jk3v59G8NlR8rk5xfQDKne0sAvZHSj7TI6I/edit?usp=sharing"",""พระนครศรีอยุธยา!N67"")+IMPORTRANGE(""https://docs.google.com/spreadsheets/d/1YXvxf8Yu6_rV4hTBrwMqAcAnv6DfhUxh5emyM3CJp_w/edit?usp=sharing"",""เพชรบุรี!N67"")+IMPORTRANGE(""https://"&amp;"docs.google.com/spreadsheets/d/19KBlQQs7uwvsao6t2n-KvW3Ax8J8uRRfZPq1zPbXgKc/edit?usp=sharing"",""ระยอง!N67"")+IMPORTRANGE(""https://docs.google.com/spreadsheets/d/1jQ6P4QcrGM89YfqcC_PxOHGCMq5ezhucwJd8ci-NHng/edit?usp=sharing"",""ราชบุรี!N67"")+IMPORTRANGE"&amp;"(""https://docs.google.com/spreadsheets/d/1lufeA2cfFqM-elVq2hznhDzC6Pr7wkJ9ZG_sYNGCMCU/edit?usp=sharing"",""ลพบุรี!N67"")+IMPORTRANGE(""https://docs.google.com/spreadsheets/d/10oOiF7loTyfsTkbd4MpaIm0HQ9SwB7IYHdIUvt-U1Uc/edit?usp=sharing"",""สระแก้ว!N67"")"&amp;"+IMPORTRANGE(""https://docs.google.com/spreadsheets/d/1xmPlrr1QbdSIKvl1dWUl9K4PjAfSL9oeMr_37QVzcxc/edit?usp=sharing"",""สระบุรี!N67"")+IMPORTRANGE(""https://docs.google.com/spreadsheets/d/1j51vR6CYVGhABJpv6tkstgok82RLpXieLzW1yOY5rHw/edit?usp=sharing"",""ส"&amp;"ิงห์บุรี!N67"")+IMPORTRANGE(""https://docs.google.com/spreadsheets/d/1H1EalTWKUSzO4Z1-1CwzoDUaVffgrThEBe2sl74kKG0/edit?usp=sharing"",""สุพรรณบุรี!N67"")+IMPORTRANGE(""https://docs.google.com/spreadsheets/d/1BmIruG_sIrJLYao_Pdr7zVArWsfoBt2692TMi6x_854/edit"&amp;"?usp=sharing"",""อ่างทอง!N67"")"),0)</f>
        <v>0</v>
      </c>
      <c r="O67" s="139">
        <f t="shared" ca="1" si="24"/>
        <v>0</v>
      </c>
      <c r="P67" s="139">
        <f t="shared" ca="1" si="25"/>
        <v>0</v>
      </c>
    </row>
    <row r="68" spans="1:16" ht="19.5" x14ac:dyDescent="0.3">
      <c r="A68" s="140" t="s">
        <v>29</v>
      </c>
      <c r="B68" s="141"/>
      <c r="C68" s="141"/>
      <c r="D68" s="141"/>
      <c r="E68" s="142"/>
      <c r="F68" s="142"/>
      <c r="G68" s="142"/>
      <c r="H68" s="142"/>
      <c r="I68" s="143"/>
      <c r="J68" s="143"/>
      <c r="K68" s="144"/>
      <c r="L68" s="144"/>
      <c r="M68" s="144"/>
      <c r="N68" s="144"/>
      <c r="O68" s="144"/>
      <c r="P68" s="145"/>
    </row>
    <row r="69" spans="1:16" ht="19.5" x14ac:dyDescent="0.3">
      <c r="A69" s="146" t="s">
        <v>30</v>
      </c>
      <c r="B69" s="147"/>
      <c r="C69" s="148"/>
      <c r="D69" s="147"/>
      <c r="E69" s="147"/>
      <c r="F69" s="147"/>
      <c r="G69" s="149"/>
      <c r="H69" s="149"/>
      <c r="I69" s="150"/>
      <c r="J69" s="150"/>
      <c r="K69" s="151"/>
      <c r="L69" s="151"/>
      <c r="M69" s="151"/>
      <c r="N69" s="151"/>
      <c r="O69" s="151"/>
      <c r="P69" s="151"/>
    </row>
    <row r="70" spans="1:16" ht="19.5" x14ac:dyDescent="0.3">
      <c r="A70" s="152"/>
      <c r="B70" s="153" t="s">
        <v>31</v>
      </c>
      <c r="C70" s="41"/>
      <c r="D70" s="154"/>
      <c r="E70" s="41"/>
      <c r="F70" s="41"/>
      <c r="G70" s="44"/>
      <c r="H70" s="155" t="s">
        <v>32</v>
      </c>
      <c r="I70" s="156">
        <f t="shared" ref="I70:J70" ca="1" si="30">I82</f>
        <v>2</v>
      </c>
      <c r="J70" s="156">
        <f t="shared" ca="1" si="30"/>
        <v>0</v>
      </c>
      <c r="K70" s="48">
        <f t="shared" ref="K70:K71" ca="1" si="31">IF(I70&gt;0,J70*100/I70,0)</f>
        <v>0</v>
      </c>
      <c r="L70" s="47"/>
      <c r="M70" s="47"/>
      <c r="N70" s="47"/>
      <c r="O70" s="47"/>
      <c r="P70" s="47"/>
    </row>
    <row r="71" spans="1:16" ht="19.5" x14ac:dyDescent="0.3">
      <c r="A71" s="152"/>
      <c r="B71" s="41"/>
      <c r="C71" s="41"/>
      <c r="D71" s="154"/>
      <c r="E71" s="41"/>
      <c r="F71" s="41"/>
      <c r="G71" s="44"/>
      <c r="H71" s="155" t="s">
        <v>33</v>
      </c>
      <c r="I71" s="156">
        <f t="shared" ref="I71:J71" ca="1" si="32">I83</f>
        <v>120</v>
      </c>
      <c r="J71" s="156">
        <f t="shared" ca="1" si="32"/>
        <v>0</v>
      </c>
      <c r="K71" s="48">
        <f t="shared" ca="1" si="31"/>
        <v>0</v>
      </c>
      <c r="L71" s="47"/>
      <c r="M71" s="47"/>
      <c r="N71" s="47"/>
      <c r="O71" s="47"/>
      <c r="P71" s="47"/>
    </row>
    <row r="72" spans="1:16" ht="19.5" x14ac:dyDescent="0.3">
      <c r="A72" s="157"/>
      <c r="B72" s="53"/>
      <c r="C72" s="158" t="s">
        <v>16</v>
      </c>
      <c r="D72" s="159" t="s">
        <v>17</v>
      </c>
      <c r="E72" s="53"/>
      <c r="F72" s="53"/>
      <c r="G72" s="55"/>
      <c r="H72" s="160" t="s">
        <v>12</v>
      </c>
      <c r="I72" s="57"/>
      <c r="J72" s="57"/>
      <c r="K72" s="58"/>
      <c r="L72" s="161">
        <f t="shared" ref="L72:N72" ca="1" si="33">L73+L74</f>
        <v>1206300</v>
      </c>
      <c r="M72" s="161">
        <f t="shared" ca="1" si="33"/>
        <v>1046000</v>
      </c>
      <c r="N72" s="161">
        <f t="shared" ca="1" si="33"/>
        <v>210667.46</v>
      </c>
      <c r="O72" s="161">
        <f t="shared" ref="O72:O80" ca="1" si="34">IF(L72&gt;0,N72*100/L72,0)</f>
        <v>17.463936002652741</v>
      </c>
      <c r="P72" s="161">
        <f t="shared" ref="P72:P80" ca="1" si="35">IF(M72&gt;0,N72*100/M72,0)</f>
        <v>20.140292543021033</v>
      </c>
    </row>
    <row r="73" spans="1:16" ht="18.75" x14ac:dyDescent="0.25">
      <c r="A73" s="157"/>
      <c r="B73" s="53"/>
      <c r="C73" s="53"/>
      <c r="D73" s="53"/>
      <c r="E73" s="60" t="s">
        <v>18</v>
      </c>
      <c r="F73" s="53"/>
      <c r="G73" s="55"/>
      <c r="H73" s="162" t="s">
        <v>12</v>
      </c>
      <c r="I73" s="57"/>
      <c r="J73" s="57"/>
      <c r="K73" s="58"/>
      <c r="L73" s="59">
        <f t="shared" ref="L73:N73" ca="1" si="36">L76+L79</f>
        <v>0</v>
      </c>
      <c r="M73" s="59">
        <f t="shared" ca="1" si="36"/>
        <v>0</v>
      </c>
      <c r="N73" s="59">
        <f t="shared" ca="1" si="36"/>
        <v>0</v>
      </c>
      <c r="O73" s="59">
        <f t="shared" ca="1" si="34"/>
        <v>0</v>
      </c>
      <c r="P73" s="59">
        <f t="shared" ca="1" si="35"/>
        <v>0</v>
      </c>
    </row>
    <row r="74" spans="1:16" ht="18.75" x14ac:dyDescent="0.25">
      <c r="A74" s="157"/>
      <c r="B74" s="53"/>
      <c r="C74" s="53"/>
      <c r="D74" s="53"/>
      <c r="E74" s="60" t="s">
        <v>19</v>
      </c>
      <c r="F74" s="53"/>
      <c r="G74" s="55"/>
      <c r="H74" s="162" t="s">
        <v>12</v>
      </c>
      <c r="I74" s="57"/>
      <c r="J74" s="57"/>
      <c r="K74" s="58"/>
      <c r="L74" s="59">
        <f t="shared" ref="L74:N74" ca="1" si="37">L77+L80</f>
        <v>1206300</v>
      </c>
      <c r="M74" s="59">
        <f t="shared" ca="1" si="37"/>
        <v>1046000</v>
      </c>
      <c r="N74" s="59">
        <f t="shared" ca="1" si="37"/>
        <v>210667.46</v>
      </c>
      <c r="O74" s="59">
        <f t="shared" ca="1" si="34"/>
        <v>17.463936002652741</v>
      </c>
      <c r="P74" s="59">
        <f t="shared" ca="1" si="35"/>
        <v>20.140292543021033</v>
      </c>
    </row>
    <row r="75" spans="1:16" ht="18.75" x14ac:dyDescent="0.25">
      <c r="A75" s="157"/>
      <c r="B75" s="53"/>
      <c r="C75" s="53"/>
      <c r="D75" s="54" t="s">
        <v>20</v>
      </c>
      <c r="E75" s="53"/>
      <c r="F75" s="53"/>
      <c r="G75" s="55"/>
      <c r="H75" s="163" t="s">
        <v>12</v>
      </c>
      <c r="I75" s="164"/>
      <c r="J75" s="164"/>
      <c r="K75" s="165"/>
      <c r="L75" s="59">
        <f t="shared" ref="L75:N75" ca="1" si="38">L76+L77</f>
        <v>1206300</v>
      </c>
      <c r="M75" s="59">
        <f t="shared" ca="1" si="38"/>
        <v>1046000</v>
      </c>
      <c r="N75" s="59">
        <f t="shared" ca="1" si="38"/>
        <v>210667.46</v>
      </c>
      <c r="O75" s="59">
        <f t="shared" ca="1" si="34"/>
        <v>17.463936002652741</v>
      </c>
      <c r="P75" s="59">
        <f t="shared" ca="1" si="35"/>
        <v>20.140292543021033</v>
      </c>
    </row>
    <row r="76" spans="1:16" ht="18.75" x14ac:dyDescent="0.25">
      <c r="A76" s="157"/>
      <c r="B76" s="53"/>
      <c r="C76" s="53"/>
      <c r="D76" s="53"/>
      <c r="E76" s="60" t="s">
        <v>34</v>
      </c>
      <c r="F76" s="53"/>
      <c r="G76" s="55"/>
      <c r="H76" s="163" t="s">
        <v>12</v>
      </c>
      <c r="I76" s="164"/>
      <c r="J76" s="164"/>
      <c r="K76" s="165"/>
      <c r="L76" s="59">
        <f ca="1">IFERROR(__xludf.DUMMYFUNCTION("IMPORTRANGE(""https://docs.google.com/spreadsheets/d/13wPX838HrBrQMCywv1BsuMkt4PEKTChp52zj44s2izQ/edit?usp=sharing"",""กาญจนบุรี!L76"")+IMPORTRANGE(""https://docs.google.com/spreadsheets/d/1ddFKvqj1W1NEiWytbGlB1zMx_ykJDVtmfEQ-6-lIUBA/edit?usp=sharing"","""&amp;"จันทบุรี!L76"")+IMPORTRANGE(""https://docs.google.com/spreadsheets/d/1T1PQvRODqOBZk8BRht_U031fIS1beLA0Ub2CEytj2q0/edit?usp=sharing"",""ฉะเชิงเทรา!L76"")+IMPORTRANGE(""https://docs.google.com/spreadsheets/d/11tr1B-Bhyr79v2bkwVh5h_fR-PStkgjlZtkrZpYurG0/edit"&amp;"?usp=sharing"",""ชลบุรี!L76"")+IMPORTRANGE(""https://docs.google.com/spreadsheets/d/1hh-FVnSX0vozXhGluamEcS54Dw9_zqW0N7qJUWgJ0Sw/edit?usp=sharing"",""ชัยนาท!L76"")+IMPORTRANGE(""https://docs.google.com/spreadsheets/d/1jkqa6GXxSacMcY1eN8AHjMNJ_7dDXMJVRLDla"&amp;"FSOdPM/edit?usp=sharing"",""ตราด!L76"")+IMPORTRANGE(""https://docs.google.com/spreadsheets/d/18hSgUJ3VwClqi_qtULmmW3cLr0oe3OKaSYoKzdpTsYQ/edit?usp=sharing"",""นครนายก!L76"")+IMPORTRANGE(""https://docs.google.com/spreadsheets/d/1YTZo6WM2dQ6Ix6FSdnL5P7uVnVK"&amp;"u40sxZu975tgG10E/edit?usp=sharing"",""นครปฐม!L76"")+IMPORTRANGE(""https://docs.google.com/spreadsheets/d/1OYoGg4WDg5RIzwGeB10padOxJF9E_Vljuvvct_M7RDo/edit?usp=sharing"",""ปทุมธานี!L76"")+IMPORTRANGE(""https://docs.google.com/spreadsheets/d/1GbCIE4D4wk9FUo"&amp;"zzqk7SxfDMxDVBwVmI5zcaVUSzKAc/edit?usp=sharing"",""ประจวบคีรีขันธ์!L76"")+IMPORTRANGE(""https://docs.google.com/spreadsheets/d/1vVf6wykvW_lAyu7Yo9L4hUTqHqIeP_qcVuxCtosJEbg/edit?usp=sharing"",""ปราจีนบุรี!L76"")+IMPORTRANGE(""https://docs.google.com/spread"&amp;"sheets/d/1BIDqLLg5jk3v59G8NlR8rk5xfQDKne0sAvZHSj7TI6I/edit?usp=sharing"",""พระนครศรีอยุธยา!L76"")+IMPORTRANGE(""https://docs.google.com/spreadsheets/d/1YXvxf8Yu6_rV4hTBrwMqAcAnv6DfhUxh5emyM3CJp_w/edit?usp=sharing"",""เพชรบุรี!L76"")+IMPORTRANGE(""https://"&amp;"docs.google.com/spreadsheets/d/19KBlQQs7uwvsao6t2n-KvW3Ax8J8uRRfZPq1zPbXgKc/edit?usp=sharing"",""ระยอง!L76"")+IMPORTRANGE(""https://docs.google.com/spreadsheets/d/1jQ6P4QcrGM89YfqcC_PxOHGCMq5ezhucwJd8ci-NHng/edit?usp=sharing"",""ราชบุรี!L76"")+IMPORTRANGE"&amp;"(""https://docs.google.com/spreadsheets/d/1lufeA2cfFqM-elVq2hznhDzC6Pr7wkJ9ZG_sYNGCMCU/edit?usp=sharing"",""ลพบุรี!L76"")+IMPORTRANGE(""https://docs.google.com/spreadsheets/d/10oOiF7loTyfsTkbd4MpaIm0HQ9SwB7IYHdIUvt-U1Uc/edit?usp=sharing"",""สระแก้ว!L76"")"&amp;"+IMPORTRANGE(""https://docs.google.com/spreadsheets/d/1xmPlrr1QbdSIKvl1dWUl9K4PjAfSL9oeMr_37QVzcxc/edit?usp=sharing"",""สระบุรี!L76"")+IMPORTRANGE(""https://docs.google.com/spreadsheets/d/1j51vR6CYVGhABJpv6tkstgok82RLpXieLzW1yOY5rHw/edit?usp=sharing"",""ส"&amp;"ิงห์บุรี!L76"")+IMPORTRANGE(""https://docs.google.com/spreadsheets/d/1H1EalTWKUSzO4Z1-1CwzoDUaVffgrThEBe2sl74kKG0/edit?usp=sharing"",""สุพรรณบุรี!L76"")+IMPORTRANGE(""https://docs.google.com/spreadsheets/d/1BmIruG_sIrJLYao_Pdr7zVArWsfoBt2692TMi6x_854/edit"&amp;"?usp=sharing"",""อ่างทอง!L76"")"),0)</f>
        <v>0</v>
      </c>
      <c r="M76" s="59">
        <f ca="1">IFERROR(__xludf.DUMMYFUNCTION("IMPORTRANGE(""https://docs.google.com/spreadsheets/d/13wPX838HrBrQMCywv1BsuMkt4PEKTChp52zj44s2izQ/edit?usp=sharing"",""กาญจนบุรี!M76"")+IMPORTRANGE(""https://docs.google.com/spreadsheets/d/1ddFKvqj1W1NEiWytbGlB1zMx_ykJDVtmfEQ-6-lIUBA/edit?usp=sharing"","""&amp;"จันทบุรี!M76"")+IMPORTRANGE(""https://docs.google.com/spreadsheets/d/1T1PQvRODqOBZk8BRht_U031fIS1beLA0Ub2CEytj2q0/edit?usp=sharing"",""ฉะเชิงเทรา!M76"")+IMPORTRANGE(""https://docs.google.com/spreadsheets/d/11tr1B-Bhyr79v2bkwVh5h_fR-PStkgjlZtkrZpYurG0/edit"&amp;"?usp=sharing"",""ชลบุรี!M76"")+IMPORTRANGE(""https://docs.google.com/spreadsheets/d/1hh-FVnSX0vozXhGluamEcS54Dw9_zqW0N7qJUWgJ0Sw/edit?usp=sharing"",""ชัยนาท!M76"")+IMPORTRANGE(""https://docs.google.com/spreadsheets/d/1jkqa6GXxSacMcY1eN8AHjMNJ_7dDXMJVRLDla"&amp;"FSOdPM/edit?usp=sharing"",""ตราด!M76"")+IMPORTRANGE(""https://docs.google.com/spreadsheets/d/18hSgUJ3VwClqi_qtULmmW3cLr0oe3OKaSYoKzdpTsYQ/edit?usp=sharing"",""นครนายก!M76"")+IMPORTRANGE(""https://docs.google.com/spreadsheets/d/1YTZo6WM2dQ6Ix6FSdnL5P7uVnVK"&amp;"u40sxZu975tgG10E/edit?usp=sharing"",""นครปฐม!M76"")+IMPORTRANGE(""https://docs.google.com/spreadsheets/d/1OYoGg4WDg5RIzwGeB10padOxJF9E_Vljuvvct_M7RDo/edit?usp=sharing"",""ปทุมธานี!M76"")+IMPORTRANGE(""https://docs.google.com/spreadsheets/d/1GbCIE4D4wk9FUo"&amp;"zzqk7SxfDMxDVBwVmI5zcaVUSzKAc/edit?usp=sharing"",""ประจวบคีรีขันธ์!M76"")+IMPORTRANGE(""https://docs.google.com/spreadsheets/d/1vVf6wykvW_lAyu7Yo9L4hUTqHqIeP_qcVuxCtosJEbg/edit?usp=sharing"",""ปราจีนบุรี!M76"")+IMPORTRANGE(""https://docs.google.com/spread"&amp;"sheets/d/1BIDqLLg5jk3v59G8NlR8rk5xfQDKne0sAvZHSj7TI6I/edit?usp=sharing"",""พระนครศรีอยุธยา!M76"")+IMPORTRANGE(""https://docs.google.com/spreadsheets/d/1YXvxf8Yu6_rV4hTBrwMqAcAnv6DfhUxh5emyM3CJp_w/edit?usp=sharing"",""เพชรบุรี!M76"")+IMPORTRANGE(""https://"&amp;"docs.google.com/spreadsheets/d/19KBlQQs7uwvsao6t2n-KvW3Ax8J8uRRfZPq1zPbXgKc/edit?usp=sharing"",""ระยอง!M76"")+IMPORTRANGE(""https://docs.google.com/spreadsheets/d/1jQ6P4QcrGM89YfqcC_PxOHGCMq5ezhucwJd8ci-NHng/edit?usp=sharing"",""ราชบุรี!M76"")+IMPORTRANGE"&amp;"(""https://docs.google.com/spreadsheets/d/1lufeA2cfFqM-elVq2hznhDzC6Pr7wkJ9ZG_sYNGCMCU/edit?usp=sharing"",""ลพบุรี!M76"")+IMPORTRANGE(""https://docs.google.com/spreadsheets/d/10oOiF7loTyfsTkbd4MpaIm0HQ9SwB7IYHdIUvt-U1Uc/edit?usp=sharing"",""สระแก้ว!M76"")"&amp;"+IMPORTRANGE(""https://docs.google.com/spreadsheets/d/1xmPlrr1QbdSIKvl1dWUl9K4PjAfSL9oeMr_37QVzcxc/edit?usp=sharing"",""สระบุรี!M76"")+IMPORTRANGE(""https://docs.google.com/spreadsheets/d/1j51vR6CYVGhABJpv6tkstgok82RLpXieLzW1yOY5rHw/edit?usp=sharing"",""ส"&amp;"ิงห์บุรี!M76"")+IMPORTRANGE(""https://docs.google.com/spreadsheets/d/1H1EalTWKUSzO4Z1-1CwzoDUaVffgrThEBe2sl74kKG0/edit?usp=sharing"",""สุพรรณบุรี!M76"")+IMPORTRANGE(""https://docs.google.com/spreadsheets/d/1BmIruG_sIrJLYao_Pdr7zVArWsfoBt2692TMi6x_854/edit"&amp;"?usp=sharing"",""อ่างทอง!M76"")"),0)</f>
        <v>0</v>
      </c>
      <c r="N76" s="59">
        <f ca="1">IFERROR(__xludf.DUMMYFUNCTION("IMPORTRANGE(""https://docs.google.com/spreadsheets/d/13wPX838HrBrQMCywv1BsuMkt4PEKTChp52zj44s2izQ/edit?usp=sharing"",""กาญจนบุรี!N76"")+IMPORTRANGE(""https://docs.google.com/spreadsheets/d/1ddFKvqj1W1NEiWytbGlB1zMx_ykJDVtmfEQ-6-lIUBA/edit?usp=sharing"","""&amp;"จันทบุรี!N76"")+IMPORTRANGE(""https://docs.google.com/spreadsheets/d/1T1PQvRODqOBZk8BRht_U031fIS1beLA0Ub2CEytj2q0/edit?usp=sharing"",""ฉะเชิงเทรา!N76"")+IMPORTRANGE(""https://docs.google.com/spreadsheets/d/11tr1B-Bhyr79v2bkwVh5h_fR-PStkgjlZtkrZpYurG0/edit"&amp;"?usp=sharing"",""ชลบุรี!N76"")+IMPORTRANGE(""https://docs.google.com/spreadsheets/d/1hh-FVnSX0vozXhGluamEcS54Dw9_zqW0N7qJUWgJ0Sw/edit?usp=sharing"",""ชัยนาท!N76"")+IMPORTRANGE(""https://docs.google.com/spreadsheets/d/1jkqa6GXxSacMcY1eN8AHjMNJ_7dDXMJVRLDla"&amp;"FSOdPM/edit?usp=sharing"",""ตราด!N76"")+IMPORTRANGE(""https://docs.google.com/spreadsheets/d/18hSgUJ3VwClqi_qtULmmW3cLr0oe3OKaSYoKzdpTsYQ/edit?usp=sharing"",""นครนายก!N76"")+IMPORTRANGE(""https://docs.google.com/spreadsheets/d/1YTZo6WM2dQ6Ix6FSdnL5P7uVnVK"&amp;"u40sxZu975tgG10E/edit?usp=sharing"",""นครปฐม!N76"")+IMPORTRANGE(""https://docs.google.com/spreadsheets/d/1OYoGg4WDg5RIzwGeB10padOxJF9E_Vljuvvct_M7RDo/edit?usp=sharing"",""ปทุมธานี!N76"")+IMPORTRANGE(""https://docs.google.com/spreadsheets/d/1GbCIE4D4wk9FUo"&amp;"zzqk7SxfDMxDVBwVmI5zcaVUSzKAc/edit?usp=sharing"",""ประจวบคีรีขันธ์!N76"")+IMPORTRANGE(""https://docs.google.com/spreadsheets/d/1vVf6wykvW_lAyu7Yo9L4hUTqHqIeP_qcVuxCtosJEbg/edit?usp=sharing"",""ปราจีนบุรี!N76"")+IMPORTRANGE(""https://docs.google.com/spread"&amp;"sheets/d/1BIDqLLg5jk3v59G8NlR8rk5xfQDKne0sAvZHSj7TI6I/edit?usp=sharing"",""พระนครศรีอยุธยา!N76"")+IMPORTRANGE(""https://docs.google.com/spreadsheets/d/1YXvxf8Yu6_rV4hTBrwMqAcAnv6DfhUxh5emyM3CJp_w/edit?usp=sharing"",""เพชรบุรี!N76"")+IMPORTRANGE(""https://"&amp;"docs.google.com/spreadsheets/d/19KBlQQs7uwvsao6t2n-KvW3Ax8J8uRRfZPq1zPbXgKc/edit?usp=sharing"",""ระยอง!N76"")+IMPORTRANGE(""https://docs.google.com/spreadsheets/d/1jQ6P4QcrGM89YfqcC_PxOHGCMq5ezhucwJd8ci-NHng/edit?usp=sharing"",""ราชบุรี!N76"")+IMPORTRANGE"&amp;"(""https://docs.google.com/spreadsheets/d/1lufeA2cfFqM-elVq2hznhDzC6Pr7wkJ9ZG_sYNGCMCU/edit?usp=sharing"",""ลพบุรี!N76"")+IMPORTRANGE(""https://docs.google.com/spreadsheets/d/10oOiF7loTyfsTkbd4MpaIm0HQ9SwB7IYHdIUvt-U1Uc/edit?usp=sharing"",""สระแก้ว!N76"")"&amp;"+IMPORTRANGE(""https://docs.google.com/spreadsheets/d/1xmPlrr1QbdSIKvl1dWUl9K4PjAfSL9oeMr_37QVzcxc/edit?usp=sharing"",""สระบุรี!N76"")+IMPORTRANGE(""https://docs.google.com/spreadsheets/d/1j51vR6CYVGhABJpv6tkstgok82RLpXieLzW1yOY5rHw/edit?usp=sharing"",""ส"&amp;"ิงห์บุรี!N76"")+IMPORTRANGE(""https://docs.google.com/spreadsheets/d/1H1EalTWKUSzO4Z1-1CwzoDUaVffgrThEBe2sl74kKG0/edit?usp=sharing"",""สุพรรณบุรี!N76"")+IMPORTRANGE(""https://docs.google.com/spreadsheets/d/1BmIruG_sIrJLYao_Pdr7zVArWsfoBt2692TMi6x_854/edit"&amp;"?usp=sharing"",""อ่างทอง!N76"")"),0)</f>
        <v>0</v>
      </c>
      <c r="O76" s="59">
        <f t="shared" ca="1" si="34"/>
        <v>0</v>
      </c>
      <c r="P76" s="59">
        <f t="shared" ca="1" si="35"/>
        <v>0</v>
      </c>
    </row>
    <row r="77" spans="1:16" ht="18.75" x14ac:dyDescent="0.25">
      <c r="A77" s="157"/>
      <c r="B77" s="53"/>
      <c r="C77" s="53"/>
      <c r="D77" s="53"/>
      <c r="E77" s="60" t="s">
        <v>35</v>
      </c>
      <c r="F77" s="53"/>
      <c r="G77" s="55"/>
      <c r="H77" s="163" t="s">
        <v>12</v>
      </c>
      <c r="I77" s="164"/>
      <c r="J77" s="164"/>
      <c r="K77" s="165"/>
      <c r="L77" s="59">
        <f ca="1">IFERROR(__xludf.DUMMYFUNCTION("IMPORTRANGE(""https://docs.google.com/spreadsheets/d/13wPX838HrBrQMCywv1BsuMkt4PEKTChp52zj44s2izQ/edit?usp=sharing"",""กาญจนบุรี!L77"")+IMPORTRANGE(""https://docs.google.com/spreadsheets/d/1ddFKvqj1W1NEiWytbGlB1zMx_ykJDVtmfEQ-6-lIUBA/edit?usp=sharing"","""&amp;"จันทบุรี!L77"")+IMPORTRANGE(""https://docs.google.com/spreadsheets/d/1T1PQvRODqOBZk8BRht_U031fIS1beLA0Ub2CEytj2q0/edit?usp=sharing"",""ฉะเชิงเทรา!L77"")+IMPORTRANGE(""https://docs.google.com/spreadsheets/d/11tr1B-Bhyr79v2bkwVh5h_fR-PStkgjlZtkrZpYurG0/edit"&amp;"?usp=sharing"",""ชลบุรี!L77"")+IMPORTRANGE(""https://docs.google.com/spreadsheets/d/1hh-FVnSX0vozXhGluamEcS54Dw9_zqW0N7qJUWgJ0Sw/edit?usp=sharing"",""ชัยนาท!L77"")+IMPORTRANGE(""https://docs.google.com/spreadsheets/d/1jkqa6GXxSacMcY1eN8AHjMNJ_7dDXMJVRLDla"&amp;"FSOdPM/edit?usp=sharing"",""ตราด!L77"")+IMPORTRANGE(""https://docs.google.com/spreadsheets/d/18hSgUJ3VwClqi_qtULmmW3cLr0oe3OKaSYoKzdpTsYQ/edit?usp=sharing"",""นครนายก!L77"")+IMPORTRANGE(""https://docs.google.com/spreadsheets/d/1YTZo6WM2dQ6Ix6FSdnL5P7uVnVK"&amp;"u40sxZu975tgG10E/edit?usp=sharing"",""นครปฐม!L77"")+IMPORTRANGE(""https://docs.google.com/spreadsheets/d/1OYoGg4WDg5RIzwGeB10padOxJF9E_Vljuvvct_M7RDo/edit?usp=sharing"",""ปทุมธานี!L77"")+IMPORTRANGE(""https://docs.google.com/spreadsheets/d/1GbCIE4D4wk9FUo"&amp;"zzqk7SxfDMxDVBwVmI5zcaVUSzKAc/edit?usp=sharing"",""ประจวบคีรีขันธ์!L77"")+IMPORTRANGE(""https://docs.google.com/spreadsheets/d/1vVf6wykvW_lAyu7Yo9L4hUTqHqIeP_qcVuxCtosJEbg/edit?usp=sharing"",""ปราจีนบุรี!L77"")+IMPORTRANGE(""https://docs.google.com/spread"&amp;"sheets/d/1BIDqLLg5jk3v59G8NlR8rk5xfQDKne0sAvZHSj7TI6I/edit?usp=sharing"",""พระนครศรีอยุธยา!L77"")+IMPORTRANGE(""https://docs.google.com/spreadsheets/d/1YXvxf8Yu6_rV4hTBrwMqAcAnv6DfhUxh5emyM3CJp_w/edit?usp=sharing"",""เพชรบุรี!L77"")+IMPORTRANGE(""https://"&amp;"docs.google.com/spreadsheets/d/19KBlQQs7uwvsao6t2n-KvW3Ax8J8uRRfZPq1zPbXgKc/edit?usp=sharing"",""ระยอง!L77"")+IMPORTRANGE(""https://docs.google.com/spreadsheets/d/1jQ6P4QcrGM89YfqcC_PxOHGCMq5ezhucwJd8ci-NHng/edit?usp=sharing"",""ราชบุรี!L77"")+IMPORTRANGE"&amp;"(""https://docs.google.com/spreadsheets/d/1lufeA2cfFqM-elVq2hznhDzC6Pr7wkJ9ZG_sYNGCMCU/edit?usp=sharing"",""ลพบุรี!L77"")+IMPORTRANGE(""https://docs.google.com/spreadsheets/d/10oOiF7loTyfsTkbd4MpaIm0HQ9SwB7IYHdIUvt-U1Uc/edit?usp=sharing"",""สระแก้ว!L77"")"&amp;"+IMPORTRANGE(""https://docs.google.com/spreadsheets/d/1xmPlrr1QbdSIKvl1dWUl9K4PjAfSL9oeMr_37QVzcxc/edit?usp=sharing"",""สระบุรี!L77"")+IMPORTRANGE(""https://docs.google.com/spreadsheets/d/1j51vR6CYVGhABJpv6tkstgok82RLpXieLzW1yOY5rHw/edit?usp=sharing"",""ส"&amp;"ิงห์บุรี!L77"")+IMPORTRANGE(""https://docs.google.com/spreadsheets/d/1H1EalTWKUSzO4Z1-1CwzoDUaVffgrThEBe2sl74kKG0/edit?usp=sharing"",""สุพรรณบุรี!L77"")+IMPORTRANGE(""https://docs.google.com/spreadsheets/d/1BmIruG_sIrJLYao_Pdr7zVArWsfoBt2692TMi6x_854/edit"&amp;"?usp=sharing"",""อ่างทอง!L77"")"),1206300)</f>
        <v>1206300</v>
      </c>
      <c r="M77" s="59">
        <f ca="1">IFERROR(__xludf.DUMMYFUNCTION("IMPORTRANGE(""https://docs.google.com/spreadsheets/d/13wPX838HrBrQMCywv1BsuMkt4PEKTChp52zj44s2izQ/edit?usp=sharing"",""กาญจนบุรี!M77"")+IMPORTRANGE(""https://docs.google.com/spreadsheets/d/1ddFKvqj1W1NEiWytbGlB1zMx_ykJDVtmfEQ-6-lIUBA/edit?usp=sharing"","""&amp;"จันทบุรี!M77"")+IMPORTRANGE(""https://docs.google.com/spreadsheets/d/1T1PQvRODqOBZk8BRht_U031fIS1beLA0Ub2CEytj2q0/edit?usp=sharing"",""ฉะเชิงเทรา!M77"")+IMPORTRANGE(""https://docs.google.com/spreadsheets/d/11tr1B-Bhyr79v2bkwVh5h_fR-PStkgjlZtkrZpYurG0/edit"&amp;"?usp=sharing"",""ชลบุรี!M77"")+IMPORTRANGE(""https://docs.google.com/spreadsheets/d/1hh-FVnSX0vozXhGluamEcS54Dw9_zqW0N7qJUWgJ0Sw/edit?usp=sharing"",""ชัยนาท!M77"")+IMPORTRANGE(""https://docs.google.com/spreadsheets/d/1jkqa6GXxSacMcY1eN8AHjMNJ_7dDXMJVRLDla"&amp;"FSOdPM/edit?usp=sharing"",""ตราด!M77"")+IMPORTRANGE(""https://docs.google.com/spreadsheets/d/18hSgUJ3VwClqi_qtULmmW3cLr0oe3OKaSYoKzdpTsYQ/edit?usp=sharing"",""นครนายก!M77"")+IMPORTRANGE(""https://docs.google.com/spreadsheets/d/1YTZo6WM2dQ6Ix6FSdnL5P7uVnVK"&amp;"u40sxZu975tgG10E/edit?usp=sharing"",""นครปฐม!M77"")+IMPORTRANGE(""https://docs.google.com/spreadsheets/d/1OYoGg4WDg5RIzwGeB10padOxJF9E_Vljuvvct_M7RDo/edit?usp=sharing"",""ปทุมธานี!M77"")+IMPORTRANGE(""https://docs.google.com/spreadsheets/d/1GbCIE4D4wk9FUo"&amp;"zzqk7SxfDMxDVBwVmI5zcaVUSzKAc/edit?usp=sharing"",""ประจวบคีรีขันธ์!M77"")+IMPORTRANGE(""https://docs.google.com/spreadsheets/d/1vVf6wykvW_lAyu7Yo9L4hUTqHqIeP_qcVuxCtosJEbg/edit?usp=sharing"",""ปราจีนบุรี!M77"")+IMPORTRANGE(""https://docs.google.com/spread"&amp;"sheets/d/1BIDqLLg5jk3v59G8NlR8rk5xfQDKne0sAvZHSj7TI6I/edit?usp=sharing"",""พระนครศรีอยุธยา!M77"")+IMPORTRANGE(""https://docs.google.com/spreadsheets/d/1YXvxf8Yu6_rV4hTBrwMqAcAnv6DfhUxh5emyM3CJp_w/edit?usp=sharing"",""เพชรบุรี!M77"")+IMPORTRANGE(""https://"&amp;"docs.google.com/spreadsheets/d/19KBlQQs7uwvsao6t2n-KvW3Ax8J8uRRfZPq1zPbXgKc/edit?usp=sharing"",""ระยอง!M77"")+IMPORTRANGE(""https://docs.google.com/spreadsheets/d/1jQ6P4QcrGM89YfqcC_PxOHGCMq5ezhucwJd8ci-NHng/edit?usp=sharing"",""ราชบุรี!M77"")+IMPORTRANGE"&amp;"(""https://docs.google.com/spreadsheets/d/1lufeA2cfFqM-elVq2hznhDzC6Pr7wkJ9ZG_sYNGCMCU/edit?usp=sharing"",""ลพบุรี!M77"")+IMPORTRANGE(""https://docs.google.com/spreadsheets/d/10oOiF7loTyfsTkbd4MpaIm0HQ9SwB7IYHdIUvt-U1Uc/edit?usp=sharing"",""สระแก้ว!M77"")"&amp;"+IMPORTRANGE(""https://docs.google.com/spreadsheets/d/1xmPlrr1QbdSIKvl1dWUl9K4PjAfSL9oeMr_37QVzcxc/edit?usp=sharing"",""สระบุรี!M77"")+IMPORTRANGE(""https://docs.google.com/spreadsheets/d/1j51vR6CYVGhABJpv6tkstgok82RLpXieLzW1yOY5rHw/edit?usp=sharing"",""ส"&amp;"ิงห์บุรี!M77"")+IMPORTRANGE(""https://docs.google.com/spreadsheets/d/1H1EalTWKUSzO4Z1-1CwzoDUaVffgrThEBe2sl74kKG0/edit?usp=sharing"",""สุพรรณบุรี!M77"")+IMPORTRANGE(""https://docs.google.com/spreadsheets/d/1BmIruG_sIrJLYao_Pdr7zVArWsfoBt2692TMi6x_854/edit"&amp;"?usp=sharing"",""อ่างทอง!M77"")"),1046000)</f>
        <v>1046000</v>
      </c>
      <c r="N77" s="59">
        <f ca="1">IFERROR(__xludf.DUMMYFUNCTION("IMPORTRANGE(""https://docs.google.com/spreadsheets/d/13wPX838HrBrQMCywv1BsuMkt4PEKTChp52zj44s2izQ/edit?usp=sharing"",""กาญจนบุรี!N77"")+IMPORTRANGE(""https://docs.google.com/spreadsheets/d/1ddFKvqj1W1NEiWytbGlB1zMx_ykJDVtmfEQ-6-lIUBA/edit?usp=sharing"","""&amp;"จันทบุรี!N77"")+IMPORTRANGE(""https://docs.google.com/spreadsheets/d/1T1PQvRODqOBZk8BRht_U031fIS1beLA0Ub2CEytj2q0/edit?usp=sharing"",""ฉะเชิงเทรา!N77"")+IMPORTRANGE(""https://docs.google.com/spreadsheets/d/11tr1B-Bhyr79v2bkwVh5h_fR-PStkgjlZtkrZpYurG0/edit"&amp;"?usp=sharing"",""ชลบุรี!N77"")+IMPORTRANGE(""https://docs.google.com/spreadsheets/d/1hh-FVnSX0vozXhGluamEcS54Dw9_zqW0N7qJUWgJ0Sw/edit?usp=sharing"",""ชัยนาท!N77"")+IMPORTRANGE(""https://docs.google.com/spreadsheets/d/1jkqa6GXxSacMcY1eN8AHjMNJ_7dDXMJVRLDla"&amp;"FSOdPM/edit?usp=sharing"",""ตราด!N77"")+IMPORTRANGE(""https://docs.google.com/spreadsheets/d/18hSgUJ3VwClqi_qtULmmW3cLr0oe3OKaSYoKzdpTsYQ/edit?usp=sharing"",""นครนายก!N77"")+IMPORTRANGE(""https://docs.google.com/spreadsheets/d/1YTZo6WM2dQ6Ix6FSdnL5P7uVnVK"&amp;"u40sxZu975tgG10E/edit?usp=sharing"",""นครปฐม!N77"")+IMPORTRANGE(""https://docs.google.com/spreadsheets/d/1OYoGg4WDg5RIzwGeB10padOxJF9E_Vljuvvct_M7RDo/edit?usp=sharing"",""ปทุมธานี!N77"")+IMPORTRANGE(""https://docs.google.com/spreadsheets/d/1GbCIE4D4wk9FUo"&amp;"zzqk7SxfDMxDVBwVmI5zcaVUSzKAc/edit?usp=sharing"",""ประจวบคีรีขันธ์!N77"")+IMPORTRANGE(""https://docs.google.com/spreadsheets/d/1vVf6wykvW_lAyu7Yo9L4hUTqHqIeP_qcVuxCtosJEbg/edit?usp=sharing"",""ปราจีนบุรี!N77"")+IMPORTRANGE(""https://docs.google.com/spread"&amp;"sheets/d/1BIDqLLg5jk3v59G8NlR8rk5xfQDKne0sAvZHSj7TI6I/edit?usp=sharing"",""พระนครศรีอยุธยา!N77"")+IMPORTRANGE(""https://docs.google.com/spreadsheets/d/1YXvxf8Yu6_rV4hTBrwMqAcAnv6DfhUxh5emyM3CJp_w/edit?usp=sharing"",""เพชรบุรี!N77"")+IMPORTRANGE(""https://"&amp;"docs.google.com/spreadsheets/d/19KBlQQs7uwvsao6t2n-KvW3Ax8J8uRRfZPq1zPbXgKc/edit?usp=sharing"",""ระยอง!N77"")+IMPORTRANGE(""https://docs.google.com/spreadsheets/d/1jQ6P4QcrGM89YfqcC_PxOHGCMq5ezhucwJd8ci-NHng/edit?usp=sharing"",""ราชบุรี!N77"")+IMPORTRANGE"&amp;"(""https://docs.google.com/spreadsheets/d/1lufeA2cfFqM-elVq2hznhDzC6Pr7wkJ9ZG_sYNGCMCU/edit?usp=sharing"",""ลพบุรี!N77"")+IMPORTRANGE(""https://docs.google.com/spreadsheets/d/10oOiF7loTyfsTkbd4MpaIm0HQ9SwB7IYHdIUvt-U1Uc/edit?usp=sharing"",""สระแก้ว!N77"")"&amp;"+IMPORTRANGE(""https://docs.google.com/spreadsheets/d/1xmPlrr1QbdSIKvl1dWUl9K4PjAfSL9oeMr_37QVzcxc/edit?usp=sharing"",""สระบุรี!N77"")+IMPORTRANGE(""https://docs.google.com/spreadsheets/d/1j51vR6CYVGhABJpv6tkstgok82RLpXieLzW1yOY5rHw/edit?usp=sharing"",""ส"&amp;"ิงห์บุรี!N77"")+IMPORTRANGE(""https://docs.google.com/spreadsheets/d/1H1EalTWKUSzO4Z1-1CwzoDUaVffgrThEBe2sl74kKG0/edit?usp=sharing"",""สุพรรณบุรี!N77"")+IMPORTRANGE(""https://docs.google.com/spreadsheets/d/1BmIruG_sIrJLYao_Pdr7zVArWsfoBt2692TMi6x_854/edit"&amp;"?usp=sharing"",""อ่างทอง!N77"")"),210667.46)</f>
        <v>210667.46</v>
      </c>
      <c r="O77" s="59">
        <f t="shared" ca="1" si="34"/>
        <v>17.463936002652741</v>
      </c>
      <c r="P77" s="59">
        <f t="shared" ca="1" si="35"/>
        <v>20.140292543021033</v>
      </c>
    </row>
    <row r="78" spans="1:16" ht="18.75" x14ac:dyDescent="0.25">
      <c r="A78" s="157"/>
      <c r="B78" s="53"/>
      <c r="C78" s="53"/>
      <c r="D78" s="54" t="s">
        <v>21</v>
      </c>
      <c r="E78" s="53"/>
      <c r="F78" s="53"/>
      <c r="G78" s="55"/>
      <c r="H78" s="166" t="s">
        <v>12</v>
      </c>
      <c r="I78" s="164"/>
      <c r="J78" s="164"/>
      <c r="K78" s="165"/>
      <c r="L78" s="59">
        <f t="shared" ref="L78:N78" ca="1" si="39">L79+L80</f>
        <v>0</v>
      </c>
      <c r="M78" s="59">
        <f t="shared" ca="1" si="39"/>
        <v>0</v>
      </c>
      <c r="N78" s="59">
        <f t="shared" ca="1" si="39"/>
        <v>0</v>
      </c>
      <c r="O78" s="59">
        <f t="shared" ca="1" si="34"/>
        <v>0</v>
      </c>
      <c r="P78" s="59">
        <f t="shared" ca="1" si="35"/>
        <v>0</v>
      </c>
    </row>
    <row r="79" spans="1:16" ht="18.75" x14ac:dyDescent="0.25">
      <c r="A79" s="157"/>
      <c r="B79" s="53"/>
      <c r="C79" s="53"/>
      <c r="D79" s="53"/>
      <c r="E79" s="60" t="s">
        <v>18</v>
      </c>
      <c r="F79" s="53"/>
      <c r="G79" s="55"/>
      <c r="H79" s="163" t="s">
        <v>12</v>
      </c>
      <c r="I79" s="164"/>
      <c r="J79" s="164"/>
      <c r="K79" s="165"/>
      <c r="L79" s="59">
        <f ca="1">IFERROR(__xludf.DUMMYFUNCTION("IMPORTRANGE(""https://docs.google.com/spreadsheets/d/13wPX838HrBrQMCywv1BsuMkt4PEKTChp52zj44s2izQ/edit?usp=sharing"",""กาญจนบุรี!L79"")+IMPORTRANGE(""https://docs.google.com/spreadsheets/d/1ddFKvqj1W1NEiWytbGlB1zMx_ykJDVtmfEQ-6-lIUBA/edit?usp=sharing"","""&amp;"จันทบุรี!L79"")+IMPORTRANGE(""https://docs.google.com/spreadsheets/d/1T1PQvRODqOBZk8BRht_U031fIS1beLA0Ub2CEytj2q0/edit?usp=sharing"",""ฉะเชิงเทรา!L79"")+IMPORTRANGE(""https://docs.google.com/spreadsheets/d/11tr1B-Bhyr79v2bkwVh5h_fR-PStkgjlZtkrZpYurG0/edit"&amp;"?usp=sharing"",""ชลบุรี!L79"")+IMPORTRANGE(""https://docs.google.com/spreadsheets/d/1hh-FVnSX0vozXhGluamEcS54Dw9_zqW0N7qJUWgJ0Sw/edit?usp=sharing"",""ชัยนาท!L79"")+IMPORTRANGE(""https://docs.google.com/spreadsheets/d/1jkqa6GXxSacMcY1eN8AHjMNJ_7dDXMJVRLDla"&amp;"FSOdPM/edit?usp=sharing"",""ตราด!L79"")+IMPORTRANGE(""https://docs.google.com/spreadsheets/d/18hSgUJ3VwClqi_qtULmmW3cLr0oe3OKaSYoKzdpTsYQ/edit?usp=sharing"",""นครนายก!L79"")+IMPORTRANGE(""https://docs.google.com/spreadsheets/d/1YTZo6WM2dQ6Ix6FSdnL5P7uVnVK"&amp;"u40sxZu975tgG10E/edit?usp=sharing"",""นครปฐม!L79"")+IMPORTRANGE(""https://docs.google.com/spreadsheets/d/1OYoGg4WDg5RIzwGeB10padOxJF9E_Vljuvvct_M7RDo/edit?usp=sharing"",""ปทุมธานี!L79"")+IMPORTRANGE(""https://docs.google.com/spreadsheets/d/1GbCIE4D4wk9FUo"&amp;"zzqk7SxfDMxDVBwVmI5zcaVUSzKAc/edit?usp=sharing"",""ประจวบคีรีขันธ์!L79"")+IMPORTRANGE(""https://docs.google.com/spreadsheets/d/1vVf6wykvW_lAyu7Yo9L4hUTqHqIeP_qcVuxCtosJEbg/edit?usp=sharing"",""ปราจีนบุรี!L79"")+IMPORTRANGE(""https://docs.google.com/spread"&amp;"sheets/d/1BIDqLLg5jk3v59G8NlR8rk5xfQDKne0sAvZHSj7TI6I/edit?usp=sharing"",""พระนครศรีอยุธยา!L79"")+IMPORTRANGE(""https://docs.google.com/spreadsheets/d/1YXvxf8Yu6_rV4hTBrwMqAcAnv6DfhUxh5emyM3CJp_w/edit?usp=sharing"",""เพชรบุรี!L79"")+IMPORTRANGE(""https://"&amp;"docs.google.com/spreadsheets/d/19KBlQQs7uwvsao6t2n-KvW3Ax8J8uRRfZPq1zPbXgKc/edit?usp=sharing"",""ระยอง!L79"")+IMPORTRANGE(""https://docs.google.com/spreadsheets/d/1jQ6P4QcrGM89YfqcC_PxOHGCMq5ezhucwJd8ci-NHng/edit?usp=sharing"",""ราชบุรี!L79"")+IMPORTRANGE"&amp;"(""https://docs.google.com/spreadsheets/d/1lufeA2cfFqM-elVq2hznhDzC6Pr7wkJ9ZG_sYNGCMCU/edit?usp=sharing"",""ลพบุรี!L79"")+IMPORTRANGE(""https://docs.google.com/spreadsheets/d/10oOiF7loTyfsTkbd4MpaIm0HQ9SwB7IYHdIUvt-U1Uc/edit?usp=sharing"",""สระแก้ว!L79"")"&amp;"+IMPORTRANGE(""https://docs.google.com/spreadsheets/d/1xmPlrr1QbdSIKvl1dWUl9K4PjAfSL9oeMr_37QVzcxc/edit?usp=sharing"",""สระบุรี!L79"")+IMPORTRANGE(""https://docs.google.com/spreadsheets/d/1j51vR6CYVGhABJpv6tkstgok82RLpXieLzW1yOY5rHw/edit?usp=sharing"",""ส"&amp;"ิงห์บุรี!L79"")+IMPORTRANGE(""https://docs.google.com/spreadsheets/d/1H1EalTWKUSzO4Z1-1CwzoDUaVffgrThEBe2sl74kKG0/edit?usp=sharing"",""สุพรรณบุรี!L79"")+IMPORTRANGE(""https://docs.google.com/spreadsheets/d/1BmIruG_sIrJLYao_Pdr7zVArWsfoBt2692TMi6x_854/edit"&amp;"?usp=sharing"",""อ่างทอง!L79"")"),0)</f>
        <v>0</v>
      </c>
      <c r="M79" s="59">
        <f ca="1">IFERROR(__xludf.DUMMYFUNCTION("IMPORTRANGE(""https://docs.google.com/spreadsheets/d/13wPX838HrBrQMCywv1BsuMkt4PEKTChp52zj44s2izQ/edit?usp=sharing"",""กาญจนบุรี!M79"")+IMPORTRANGE(""https://docs.google.com/spreadsheets/d/1ddFKvqj1W1NEiWytbGlB1zMx_ykJDVtmfEQ-6-lIUBA/edit?usp=sharing"","""&amp;"จันทบุรี!M79"")+IMPORTRANGE(""https://docs.google.com/spreadsheets/d/1T1PQvRODqOBZk8BRht_U031fIS1beLA0Ub2CEytj2q0/edit?usp=sharing"",""ฉะเชิงเทรา!M79"")+IMPORTRANGE(""https://docs.google.com/spreadsheets/d/11tr1B-Bhyr79v2bkwVh5h_fR-PStkgjlZtkrZpYurG0/edit"&amp;"?usp=sharing"",""ชลบุรี!M79"")+IMPORTRANGE(""https://docs.google.com/spreadsheets/d/1hh-FVnSX0vozXhGluamEcS54Dw9_zqW0N7qJUWgJ0Sw/edit?usp=sharing"",""ชัยนาท!M79"")+IMPORTRANGE(""https://docs.google.com/spreadsheets/d/1jkqa6GXxSacMcY1eN8AHjMNJ_7dDXMJVRLDla"&amp;"FSOdPM/edit?usp=sharing"",""ตราด!M79"")+IMPORTRANGE(""https://docs.google.com/spreadsheets/d/18hSgUJ3VwClqi_qtULmmW3cLr0oe3OKaSYoKzdpTsYQ/edit?usp=sharing"",""นครนายก!M79"")+IMPORTRANGE(""https://docs.google.com/spreadsheets/d/1YTZo6WM2dQ6Ix6FSdnL5P7uVnVK"&amp;"u40sxZu975tgG10E/edit?usp=sharing"",""นครปฐม!M79"")+IMPORTRANGE(""https://docs.google.com/spreadsheets/d/1OYoGg4WDg5RIzwGeB10padOxJF9E_Vljuvvct_M7RDo/edit?usp=sharing"",""ปทุมธานี!M79"")+IMPORTRANGE(""https://docs.google.com/spreadsheets/d/1GbCIE4D4wk9FUo"&amp;"zzqk7SxfDMxDVBwVmI5zcaVUSzKAc/edit?usp=sharing"",""ประจวบคีรีขันธ์!M79"")+IMPORTRANGE(""https://docs.google.com/spreadsheets/d/1vVf6wykvW_lAyu7Yo9L4hUTqHqIeP_qcVuxCtosJEbg/edit?usp=sharing"",""ปราจีนบุรี!M79"")+IMPORTRANGE(""https://docs.google.com/spread"&amp;"sheets/d/1BIDqLLg5jk3v59G8NlR8rk5xfQDKne0sAvZHSj7TI6I/edit?usp=sharing"",""พระนครศรีอยุธยา!M79"")+IMPORTRANGE(""https://docs.google.com/spreadsheets/d/1YXvxf8Yu6_rV4hTBrwMqAcAnv6DfhUxh5emyM3CJp_w/edit?usp=sharing"",""เพชรบุรี!M79"")+IMPORTRANGE(""https://"&amp;"docs.google.com/spreadsheets/d/19KBlQQs7uwvsao6t2n-KvW3Ax8J8uRRfZPq1zPbXgKc/edit?usp=sharing"",""ระยอง!M79"")+IMPORTRANGE(""https://docs.google.com/spreadsheets/d/1jQ6P4QcrGM89YfqcC_PxOHGCMq5ezhucwJd8ci-NHng/edit?usp=sharing"",""ราชบุรี!M79"")+IMPORTRANGE"&amp;"(""https://docs.google.com/spreadsheets/d/1lufeA2cfFqM-elVq2hznhDzC6Pr7wkJ9ZG_sYNGCMCU/edit?usp=sharing"",""ลพบุรี!M79"")+IMPORTRANGE(""https://docs.google.com/spreadsheets/d/10oOiF7loTyfsTkbd4MpaIm0HQ9SwB7IYHdIUvt-U1Uc/edit?usp=sharing"",""สระแก้ว!M79"")"&amp;"+IMPORTRANGE(""https://docs.google.com/spreadsheets/d/1xmPlrr1QbdSIKvl1dWUl9K4PjAfSL9oeMr_37QVzcxc/edit?usp=sharing"",""สระบุรี!M79"")+IMPORTRANGE(""https://docs.google.com/spreadsheets/d/1j51vR6CYVGhABJpv6tkstgok82RLpXieLzW1yOY5rHw/edit?usp=sharing"",""ส"&amp;"ิงห์บุรี!M79"")+IMPORTRANGE(""https://docs.google.com/spreadsheets/d/1H1EalTWKUSzO4Z1-1CwzoDUaVffgrThEBe2sl74kKG0/edit?usp=sharing"",""สุพรรณบุรี!M79"")+IMPORTRANGE(""https://docs.google.com/spreadsheets/d/1BmIruG_sIrJLYao_Pdr7zVArWsfoBt2692TMi6x_854/edit"&amp;"?usp=sharing"",""อ่างทอง!M79"")"),0)</f>
        <v>0</v>
      </c>
      <c r="N79" s="59">
        <f ca="1">IFERROR(__xludf.DUMMYFUNCTION("IMPORTRANGE(""https://docs.google.com/spreadsheets/d/13wPX838HrBrQMCywv1BsuMkt4PEKTChp52zj44s2izQ/edit?usp=sharing"",""กาญจนบุรี!N79"")+IMPORTRANGE(""https://docs.google.com/spreadsheets/d/1ddFKvqj1W1NEiWytbGlB1zMx_ykJDVtmfEQ-6-lIUBA/edit?usp=sharing"","""&amp;"จันทบุรี!N79"")+IMPORTRANGE(""https://docs.google.com/spreadsheets/d/1T1PQvRODqOBZk8BRht_U031fIS1beLA0Ub2CEytj2q0/edit?usp=sharing"",""ฉะเชิงเทรา!N79"")+IMPORTRANGE(""https://docs.google.com/spreadsheets/d/11tr1B-Bhyr79v2bkwVh5h_fR-PStkgjlZtkrZpYurG0/edit"&amp;"?usp=sharing"",""ชลบุรี!N79"")+IMPORTRANGE(""https://docs.google.com/spreadsheets/d/1hh-FVnSX0vozXhGluamEcS54Dw9_zqW0N7qJUWgJ0Sw/edit?usp=sharing"",""ชัยนาท!N79"")+IMPORTRANGE(""https://docs.google.com/spreadsheets/d/1jkqa6GXxSacMcY1eN8AHjMNJ_7dDXMJVRLDla"&amp;"FSOdPM/edit?usp=sharing"",""ตราด!N79"")+IMPORTRANGE(""https://docs.google.com/spreadsheets/d/18hSgUJ3VwClqi_qtULmmW3cLr0oe3OKaSYoKzdpTsYQ/edit?usp=sharing"",""นครนายก!N79"")+IMPORTRANGE(""https://docs.google.com/spreadsheets/d/1YTZo6WM2dQ6Ix6FSdnL5P7uVnVK"&amp;"u40sxZu975tgG10E/edit?usp=sharing"",""นครปฐม!N79"")+IMPORTRANGE(""https://docs.google.com/spreadsheets/d/1OYoGg4WDg5RIzwGeB10padOxJF9E_Vljuvvct_M7RDo/edit?usp=sharing"",""ปทุมธานี!N79"")+IMPORTRANGE(""https://docs.google.com/spreadsheets/d/1GbCIE4D4wk9FUo"&amp;"zzqk7SxfDMxDVBwVmI5zcaVUSzKAc/edit?usp=sharing"",""ประจวบคีรีขันธ์!N79"")+IMPORTRANGE(""https://docs.google.com/spreadsheets/d/1vVf6wykvW_lAyu7Yo9L4hUTqHqIeP_qcVuxCtosJEbg/edit?usp=sharing"",""ปราจีนบุรี!N79"")+IMPORTRANGE(""https://docs.google.com/spread"&amp;"sheets/d/1BIDqLLg5jk3v59G8NlR8rk5xfQDKne0sAvZHSj7TI6I/edit?usp=sharing"",""พระนครศรีอยุธยา!N79"")+IMPORTRANGE(""https://docs.google.com/spreadsheets/d/1YXvxf8Yu6_rV4hTBrwMqAcAnv6DfhUxh5emyM3CJp_w/edit?usp=sharing"",""เพชรบุรี!N79"")+IMPORTRANGE(""https://"&amp;"docs.google.com/spreadsheets/d/19KBlQQs7uwvsao6t2n-KvW3Ax8J8uRRfZPq1zPbXgKc/edit?usp=sharing"",""ระยอง!N79"")+IMPORTRANGE(""https://docs.google.com/spreadsheets/d/1jQ6P4QcrGM89YfqcC_PxOHGCMq5ezhucwJd8ci-NHng/edit?usp=sharing"",""ราชบุรี!N79"")+IMPORTRANGE"&amp;"(""https://docs.google.com/spreadsheets/d/1lufeA2cfFqM-elVq2hznhDzC6Pr7wkJ9ZG_sYNGCMCU/edit?usp=sharing"",""ลพบุรี!N79"")+IMPORTRANGE(""https://docs.google.com/spreadsheets/d/10oOiF7loTyfsTkbd4MpaIm0HQ9SwB7IYHdIUvt-U1Uc/edit?usp=sharing"",""สระแก้ว!N79"")"&amp;"+IMPORTRANGE(""https://docs.google.com/spreadsheets/d/1xmPlrr1QbdSIKvl1dWUl9K4PjAfSL9oeMr_37QVzcxc/edit?usp=sharing"",""สระบุรี!N79"")+IMPORTRANGE(""https://docs.google.com/spreadsheets/d/1j51vR6CYVGhABJpv6tkstgok82RLpXieLzW1yOY5rHw/edit?usp=sharing"",""ส"&amp;"ิงห์บุรี!N79"")+IMPORTRANGE(""https://docs.google.com/spreadsheets/d/1H1EalTWKUSzO4Z1-1CwzoDUaVffgrThEBe2sl74kKG0/edit?usp=sharing"",""สุพรรณบุรี!N79"")+IMPORTRANGE(""https://docs.google.com/spreadsheets/d/1BmIruG_sIrJLYao_Pdr7zVArWsfoBt2692TMi6x_854/edit"&amp;"?usp=sharing"",""อ่างทอง!N79"")"),0)</f>
        <v>0</v>
      </c>
      <c r="O79" s="59">
        <f t="shared" ca="1" si="34"/>
        <v>0</v>
      </c>
      <c r="P79" s="59">
        <f t="shared" ca="1" si="35"/>
        <v>0</v>
      </c>
    </row>
    <row r="80" spans="1:16" ht="18.75" x14ac:dyDescent="0.25">
      <c r="A80" s="157"/>
      <c r="B80" s="53"/>
      <c r="C80" s="53"/>
      <c r="D80" s="53"/>
      <c r="E80" s="60" t="s">
        <v>19</v>
      </c>
      <c r="F80" s="53"/>
      <c r="G80" s="55"/>
      <c r="H80" s="166" t="s">
        <v>12</v>
      </c>
      <c r="I80" s="164"/>
      <c r="J80" s="164"/>
      <c r="K80" s="165"/>
      <c r="L80" s="59">
        <f ca="1">IFERROR(__xludf.DUMMYFUNCTION("IMPORTRANGE(""https://docs.google.com/spreadsheets/d/13wPX838HrBrQMCywv1BsuMkt4PEKTChp52zj44s2izQ/edit?usp=sharing"",""กาญจนบุรี!L80"")+IMPORTRANGE(""https://docs.google.com/spreadsheets/d/1ddFKvqj1W1NEiWytbGlB1zMx_ykJDVtmfEQ-6-lIUBA/edit?usp=sharing"","""&amp;"จันทบุรี!L80"")+IMPORTRANGE(""https://docs.google.com/spreadsheets/d/1T1PQvRODqOBZk8BRht_U031fIS1beLA0Ub2CEytj2q0/edit?usp=sharing"",""ฉะเชิงเทรา!L80"")+IMPORTRANGE(""https://docs.google.com/spreadsheets/d/11tr1B-Bhyr79v2bkwVh5h_fR-PStkgjlZtkrZpYurG0/edit"&amp;"?usp=sharing"",""ชลบุรี!L80"")+IMPORTRANGE(""https://docs.google.com/spreadsheets/d/1hh-FVnSX0vozXhGluamEcS54Dw9_zqW0N7qJUWgJ0Sw/edit?usp=sharing"",""ชัยนาท!L80"")+IMPORTRANGE(""https://docs.google.com/spreadsheets/d/1jkqa6GXxSacMcY1eN8AHjMNJ_7dDXMJVRLDla"&amp;"FSOdPM/edit?usp=sharing"",""ตราด!L80"")+IMPORTRANGE(""https://docs.google.com/spreadsheets/d/18hSgUJ3VwClqi_qtULmmW3cLr0oe3OKaSYoKzdpTsYQ/edit?usp=sharing"",""นครนายก!L80"")+IMPORTRANGE(""https://docs.google.com/spreadsheets/d/1YTZo6WM2dQ6Ix6FSdnL5P7uVnVK"&amp;"u40sxZu975tgG10E/edit?usp=sharing"",""นครปฐม!L80"")+IMPORTRANGE(""https://docs.google.com/spreadsheets/d/1OYoGg4WDg5RIzwGeB10padOxJF9E_Vljuvvct_M7RDo/edit?usp=sharing"",""ปทุมธานี!L80"")+IMPORTRANGE(""https://docs.google.com/spreadsheets/d/1GbCIE4D4wk9FUo"&amp;"zzqk7SxfDMxDVBwVmI5zcaVUSzKAc/edit?usp=sharing"",""ประจวบคีรีขันธ์!L80"")+IMPORTRANGE(""https://docs.google.com/spreadsheets/d/1vVf6wykvW_lAyu7Yo9L4hUTqHqIeP_qcVuxCtosJEbg/edit?usp=sharing"",""ปราจีนบุรี!L80"")+IMPORTRANGE(""https://docs.google.com/spread"&amp;"sheets/d/1BIDqLLg5jk3v59G8NlR8rk5xfQDKne0sAvZHSj7TI6I/edit?usp=sharing"",""พระนครศรีอยุธยา!L80"")+IMPORTRANGE(""https://docs.google.com/spreadsheets/d/1YXvxf8Yu6_rV4hTBrwMqAcAnv6DfhUxh5emyM3CJp_w/edit?usp=sharing"",""เพชรบุรี!L80"")+IMPORTRANGE(""https://"&amp;"docs.google.com/spreadsheets/d/19KBlQQs7uwvsao6t2n-KvW3Ax8J8uRRfZPq1zPbXgKc/edit?usp=sharing"",""ระยอง!L80"")+IMPORTRANGE(""https://docs.google.com/spreadsheets/d/1jQ6P4QcrGM89YfqcC_PxOHGCMq5ezhucwJd8ci-NHng/edit?usp=sharing"",""ราชบุรี!L80"")+IMPORTRANGE"&amp;"(""https://docs.google.com/spreadsheets/d/1lufeA2cfFqM-elVq2hznhDzC6Pr7wkJ9ZG_sYNGCMCU/edit?usp=sharing"",""ลพบุรี!L80"")+IMPORTRANGE(""https://docs.google.com/spreadsheets/d/10oOiF7loTyfsTkbd4MpaIm0HQ9SwB7IYHdIUvt-U1Uc/edit?usp=sharing"",""สระแก้ว!L80"")"&amp;"+IMPORTRANGE(""https://docs.google.com/spreadsheets/d/1xmPlrr1QbdSIKvl1dWUl9K4PjAfSL9oeMr_37QVzcxc/edit?usp=sharing"",""สระบุรี!L80"")+IMPORTRANGE(""https://docs.google.com/spreadsheets/d/1j51vR6CYVGhABJpv6tkstgok82RLpXieLzW1yOY5rHw/edit?usp=sharing"",""ส"&amp;"ิงห์บุรี!L80"")+IMPORTRANGE(""https://docs.google.com/spreadsheets/d/1H1EalTWKUSzO4Z1-1CwzoDUaVffgrThEBe2sl74kKG0/edit?usp=sharing"",""สุพรรณบุรี!L80"")+IMPORTRANGE(""https://docs.google.com/spreadsheets/d/1BmIruG_sIrJLYao_Pdr7zVArWsfoBt2692TMi6x_854/edit"&amp;"?usp=sharing"",""อ่างทอง!L80"")"),0)</f>
        <v>0</v>
      </c>
      <c r="M80" s="59">
        <f ca="1">IFERROR(__xludf.DUMMYFUNCTION("IMPORTRANGE(""https://docs.google.com/spreadsheets/d/13wPX838HrBrQMCywv1BsuMkt4PEKTChp52zj44s2izQ/edit?usp=sharing"",""กาญจนบุรี!M80"")+IMPORTRANGE(""https://docs.google.com/spreadsheets/d/1ddFKvqj1W1NEiWytbGlB1zMx_ykJDVtmfEQ-6-lIUBA/edit?usp=sharing"","""&amp;"จันทบุรี!M80"")+IMPORTRANGE(""https://docs.google.com/spreadsheets/d/1T1PQvRODqOBZk8BRht_U031fIS1beLA0Ub2CEytj2q0/edit?usp=sharing"",""ฉะเชิงเทรา!M80"")+IMPORTRANGE(""https://docs.google.com/spreadsheets/d/11tr1B-Bhyr79v2bkwVh5h_fR-PStkgjlZtkrZpYurG0/edit"&amp;"?usp=sharing"",""ชลบุรี!M80"")+IMPORTRANGE(""https://docs.google.com/spreadsheets/d/1hh-FVnSX0vozXhGluamEcS54Dw9_zqW0N7qJUWgJ0Sw/edit?usp=sharing"",""ชัยนาท!M80"")+IMPORTRANGE(""https://docs.google.com/spreadsheets/d/1jkqa6GXxSacMcY1eN8AHjMNJ_7dDXMJVRLDla"&amp;"FSOdPM/edit?usp=sharing"",""ตราด!M80"")+IMPORTRANGE(""https://docs.google.com/spreadsheets/d/18hSgUJ3VwClqi_qtULmmW3cLr0oe3OKaSYoKzdpTsYQ/edit?usp=sharing"",""นครนายก!M80"")+IMPORTRANGE(""https://docs.google.com/spreadsheets/d/1YTZo6WM2dQ6Ix6FSdnL5P7uVnVK"&amp;"u40sxZu975tgG10E/edit?usp=sharing"",""นครปฐม!M80"")+IMPORTRANGE(""https://docs.google.com/spreadsheets/d/1OYoGg4WDg5RIzwGeB10padOxJF9E_Vljuvvct_M7RDo/edit?usp=sharing"",""ปทุมธานี!M80"")+IMPORTRANGE(""https://docs.google.com/spreadsheets/d/1GbCIE4D4wk9FUo"&amp;"zzqk7SxfDMxDVBwVmI5zcaVUSzKAc/edit?usp=sharing"",""ประจวบคีรีขันธ์!M80"")+IMPORTRANGE(""https://docs.google.com/spreadsheets/d/1vVf6wykvW_lAyu7Yo9L4hUTqHqIeP_qcVuxCtosJEbg/edit?usp=sharing"",""ปราจีนบุรี!M80"")+IMPORTRANGE(""https://docs.google.com/spread"&amp;"sheets/d/1BIDqLLg5jk3v59G8NlR8rk5xfQDKne0sAvZHSj7TI6I/edit?usp=sharing"",""พระนครศรีอยุธยา!M80"")+IMPORTRANGE(""https://docs.google.com/spreadsheets/d/1YXvxf8Yu6_rV4hTBrwMqAcAnv6DfhUxh5emyM3CJp_w/edit?usp=sharing"",""เพชรบุรี!M80"")+IMPORTRANGE(""https://"&amp;"docs.google.com/spreadsheets/d/19KBlQQs7uwvsao6t2n-KvW3Ax8J8uRRfZPq1zPbXgKc/edit?usp=sharing"",""ระยอง!M80"")+IMPORTRANGE(""https://docs.google.com/spreadsheets/d/1jQ6P4QcrGM89YfqcC_PxOHGCMq5ezhucwJd8ci-NHng/edit?usp=sharing"",""ราชบุรี!M80"")+IMPORTRANGE"&amp;"(""https://docs.google.com/spreadsheets/d/1lufeA2cfFqM-elVq2hznhDzC6Pr7wkJ9ZG_sYNGCMCU/edit?usp=sharing"",""ลพบุรี!M80"")+IMPORTRANGE(""https://docs.google.com/spreadsheets/d/10oOiF7loTyfsTkbd4MpaIm0HQ9SwB7IYHdIUvt-U1Uc/edit?usp=sharing"",""สระแก้ว!M80"")"&amp;"+IMPORTRANGE(""https://docs.google.com/spreadsheets/d/1xmPlrr1QbdSIKvl1dWUl9K4PjAfSL9oeMr_37QVzcxc/edit?usp=sharing"",""สระบุรี!M80"")+IMPORTRANGE(""https://docs.google.com/spreadsheets/d/1j51vR6CYVGhABJpv6tkstgok82RLpXieLzW1yOY5rHw/edit?usp=sharing"",""ส"&amp;"ิงห์บุรี!M80"")+IMPORTRANGE(""https://docs.google.com/spreadsheets/d/1H1EalTWKUSzO4Z1-1CwzoDUaVffgrThEBe2sl74kKG0/edit?usp=sharing"",""สุพรรณบุรี!M80"")+IMPORTRANGE(""https://docs.google.com/spreadsheets/d/1BmIruG_sIrJLYao_Pdr7zVArWsfoBt2692TMi6x_854/edit"&amp;"?usp=sharing"",""อ่างทอง!M80"")"),0)</f>
        <v>0</v>
      </c>
      <c r="N80" s="59">
        <f ca="1">IFERROR(__xludf.DUMMYFUNCTION("IMPORTRANGE(""https://docs.google.com/spreadsheets/d/13wPX838HrBrQMCywv1BsuMkt4PEKTChp52zj44s2izQ/edit?usp=sharing"",""กาญจนบุรี!N80"")+IMPORTRANGE(""https://docs.google.com/spreadsheets/d/1ddFKvqj1W1NEiWytbGlB1zMx_ykJDVtmfEQ-6-lIUBA/edit?usp=sharing"","""&amp;"จันทบุรี!N80"")+IMPORTRANGE(""https://docs.google.com/spreadsheets/d/1T1PQvRODqOBZk8BRht_U031fIS1beLA0Ub2CEytj2q0/edit?usp=sharing"",""ฉะเชิงเทรา!N80"")+IMPORTRANGE(""https://docs.google.com/spreadsheets/d/11tr1B-Bhyr79v2bkwVh5h_fR-PStkgjlZtkrZpYurG0/edit"&amp;"?usp=sharing"",""ชลบุรี!N80"")+IMPORTRANGE(""https://docs.google.com/spreadsheets/d/1hh-FVnSX0vozXhGluamEcS54Dw9_zqW0N7qJUWgJ0Sw/edit?usp=sharing"",""ชัยนาท!N80"")+IMPORTRANGE(""https://docs.google.com/spreadsheets/d/1jkqa6GXxSacMcY1eN8AHjMNJ_7dDXMJVRLDla"&amp;"FSOdPM/edit?usp=sharing"",""ตราด!N80"")+IMPORTRANGE(""https://docs.google.com/spreadsheets/d/18hSgUJ3VwClqi_qtULmmW3cLr0oe3OKaSYoKzdpTsYQ/edit?usp=sharing"",""นครนายก!N80"")+IMPORTRANGE(""https://docs.google.com/spreadsheets/d/1YTZo6WM2dQ6Ix6FSdnL5P7uVnVK"&amp;"u40sxZu975tgG10E/edit?usp=sharing"",""นครปฐม!N80"")+IMPORTRANGE(""https://docs.google.com/spreadsheets/d/1OYoGg4WDg5RIzwGeB10padOxJF9E_Vljuvvct_M7RDo/edit?usp=sharing"",""ปทุมธานี!N80"")+IMPORTRANGE(""https://docs.google.com/spreadsheets/d/1GbCIE4D4wk9FUo"&amp;"zzqk7SxfDMxDVBwVmI5zcaVUSzKAc/edit?usp=sharing"",""ประจวบคีรีขันธ์!N80"")+IMPORTRANGE(""https://docs.google.com/spreadsheets/d/1vVf6wykvW_lAyu7Yo9L4hUTqHqIeP_qcVuxCtosJEbg/edit?usp=sharing"",""ปราจีนบุรี!N80"")+IMPORTRANGE(""https://docs.google.com/spread"&amp;"sheets/d/1BIDqLLg5jk3v59G8NlR8rk5xfQDKne0sAvZHSj7TI6I/edit?usp=sharing"",""พระนครศรีอยุธยา!N80"")+IMPORTRANGE(""https://docs.google.com/spreadsheets/d/1YXvxf8Yu6_rV4hTBrwMqAcAnv6DfhUxh5emyM3CJp_w/edit?usp=sharing"",""เพชรบุรี!N80"")+IMPORTRANGE(""https://"&amp;"docs.google.com/spreadsheets/d/19KBlQQs7uwvsao6t2n-KvW3Ax8J8uRRfZPq1zPbXgKc/edit?usp=sharing"",""ระยอง!N80"")+IMPORTRANGE(""https://docs.google.com/spreadsheets/d/1jQ6P4QcrGM89YfqcC_PxOHGCMq5ezhucwJd8ci-NHng/edit?usp=sharing"",""ราชบุรี!N80"")+IMPORTRANGE"&amp;"(""https://docs.google.com/spreadsheets/d/1lufeA2cfFqM-elVq2hznhDzC6Pr7wkJ9ZG_sYNGCMCU/edit?usp=sharing"",""ลพบุรี!N80"")+IMPORTRANGE(""https://docs.google.com/spreadsheets/d/10oOiF7loTyfsTkbd4MpaIm0HQ9SwB7IYHdIUvt-U1Uc/edit?usp=sharing"",""สระแก้ว!N80"")"&amp;"+IMPORTRANGE(""https://docs.google.com/spreadsheets/d/1xmPlrr1QbdSIKvl1dWUl9K4PjAfSL9oeMr_37QVzcxc/edit?usp=sharing"",""สระบุรี!N80"")+IMPORTRANGE(""https://docs.google.com/spreadsheets/d/1j51vR6CYVGhABJpv6tkstgok82RLpXieLzW1yOY5rHw/edit?usp=sharing"",""ส"&amp;"ิงห์บุรี!N80"")+IMPORTRANGE(""https://docs.google.com/spreadsheets/d/1H1EalTWKUSzO4Z1-1CwzoDUaVffgrThEBe2sl74kKG0/edit?usp=sharing"",""สุพรรณบุรี!N80"")+IMPORTRANGE(""https://docs.google.com/spreadsheets/d/1BmIruG_sIrJLYao_Pdr7zVArWsfoBt2692TMi6x_854/edit"&amp;"?usp=sharing"",""อ่างทอง!N80"")"),0)</f>
        <v>0</v>
      </c>
      <c r="O80" s="59">
        <f t="shared" ca="1" si="34"/>
        <v>0</v>
      </c>
      <c r="P80" s="59">
        <f t="shared" ca="1" si="35"/>
        <v>0</v>
      </c>
    </row>
    <row r="81" spans="1:16" ht="19.5" x14ac:dyDescent="0.3">
      <c r="A81" s="167"/>
      <c r="B81" s="168"/>
      <c r="C81" s="158" t="s">
        <v>16</v>
      </c>
      <c r="D81" s="169" t="s">
        <v>36</v>
      </c>
      <c r="E81" s="170"/>
      <c r="F81" s="170"/>
      <c r="G81" s="171"/>
      <c r="H81" s="172"/>
      <c r="I81" s="164"/>
      <c r="J81" s="164"/>
      <c r="K81" s="165"/>
      <c r="L81" s="165"/>
      <c r="M81" s="165"/>
      <c r="N81" s="165"/>
      <c r="O81" s="165"/>
      <c r="P81" s="165"/>
    </row>
    <row r="82" spans="1:16" ht="19.5" x14ac:dyDescent="0.3">
      <c r="A82" s="167"/>
      <c r="B82" s="168"/>
      <c r="C82" s="168"/>
      <c r="D82" s="173" t="s">
        <v>37</v>
      </c>
      <c r="E82" s="174"/>
      <c r="F82" s="174"/>
      <c r="G82" s="172"/>
      <c r="H82" s="175" t="s">
        <v>32</v>
      </c>
      <c r="I82" s="176">
        <f t="shared" ref="I82:J82" ca="1" si="40">I84+I86+I88</f>
        <v>2</v>
      </c>
      <c r="J82" s="176">
        <f t="shared" ca="1" si="40"/>
        <v>0</v>
      </c>
      <c r="K82" s="177">
        <f t="shared" ref="K82:K90" ca="1" si="41">IF(I82&gt;0,J82*100/I82,0)</f>
        <v>0</v>
      </c>
      <c r="L82" s="165"/>
      <c r="M82" s="165"/>
      <c r="N82" s="165"/>
      <c r="O82" s="165"/>
      <c r="P82" s="165"/>
    </row>
    <row r="83" spans="1:16" ht="19.5" x14ac:dyDescent="0.3">
      <c r="A83" s="167"/>
      <c r="B83" s="168"/>
      <c r="C83" s="168"/>
      <c r="D83" s="168"/>
      <c r="E83" s="174"/>
      <c r="F83" s="174"/>
      <c r="G83" s="172"/>
      <c r="H83" s="175" t="s">
        <v>33</v>
      </c>
      <c r="I83" s="178">
        <f t="shared" ref="I83:J83" ca="1" si="42">I85+I87+I89</f>
        <v>120</v>
      </c>
      <c r="J83" s="176">
        <f t="shared" ca="1" si="42"/>
        <v>0</v>
      </c>
      <c r="K83" s="177">
        <f t="shared" ca="1" si="41"/>
        <v>0</v>
      </c>
      <c r="L83" s="165"/>
      <c r="M83" s="165"/>
      <c r="N83" s="165"/>
      <c r="O83" s="165"/>
      <c r="P83" s="165"/>
    </row>
    <row r="84" spans="1:16" ht="18.75" x14ac:dyDescent="0.25">
      <c r="A84" s="167"/>
      <c r="B84" s="168"/>
      <c r="C84" s="168"/>
      <c r="D84" s="168"/>
      <c r="E84" s="179" t="s">
        <v>38</v>
      </c>
      <c r="F84" s="174"/>
      <c r="G84" s="172"/>
      <c r="H84" s="180" t="s">
        <v>32</v>
      </c>
      <c r="I84" s="181">
        <f ca="1">IFERROR(__xludf.DUMMYFUNCTION("IMPORTRANGE(""https://docs.google.com/spreadsheets/d/13wPX838HrBrQMCywv1BsuMkt4PEKTChp52zj44s2izQ/edit?usp=sharing"",""กาญจนบุรี!I84"")+IMPORTRANGE(""https://docs.google.com/spreadsheets/d/1ddFKvqj1W1NEiWytbGlB1zMx_ykJDVtmfEQ-6-lIUBA/edit?usp=sharing"","""&amp;"จันทบุรี!I84"")+IMPORTRANGE(""https://docs.google.com/spreadsheets/d/1T1PQvRODqOBZk8BRht_U031fIS1beLA0Ub2CEytj2q0/edit?usp=sharing"",""ฉะเชิงเทรา!I84"")+IMPORTRANGE(""https://docs.google.com/spreadsheets/d/11tr1B-Bhyr79v2bkwVh5h_fR-PStkgjlZtkrZpYurG0/edit"&amp;"?usp=sharing"",""ชลบุรี!I84"")+IMPORTRANGE(""https://docs.google.com/spreadsheets/d/1hh-FVnSX0vozXhGluamEcS54Dw9_zqW0N7qJUWgJ0Sw/edit?usp=sharing"",""ชัยนาท!I84"")+IMPORTRANGE(""https://docs.google.com/spreadsheets/d/1jkqa6GXxSacMcY1eN8AHjMNJ_7dDXMJVRLDla"&amp;"FSOdPM/edit?usp=sharing"",""ตราด!I84"")+IMPORTRANGE(""https://docs.google.com/spreadsheets/d/18hSgUJ3VwClqi_qtULmmW3cLr0oe3OKaSYoKzdpTsYQ/edit?usp=sharing"",""นครนายก!I84"")+IMPORTRANGE(""https://docs.google.com/spreadsheets/d/1YTZo6WM2dQ6Ix6FSdnL5P7uVnVK"&amp;"u40sxZu975tgG10E/edit?usp=sharing"",""นครปฐม!I84"")+IMPORTRANGE(""https://docs.google.com/spreadsheets/d/1OYoGg4WDg5RIzwGeB10padOxJF9E_Vljuvvct_M7RDo/edit?usp=sharing"",""ปทุมธานี!I84"")+IMPORTRANGE(""https://docs.google.com/spreadsheets/d/1GbCIE4D4wk9FUo"&amp;"zzqk7SxfDMxDVBwVmI5zcaVUSzKAc/edit?usp=sharing"",""ประจวบคีรีขันธ์!I84"")+IMPORTRANGE(""https://docs.google.com/spreadsheets/d/1vVf6wykvW_lAyu7Yo9L4hUTqHqIeP_qcVuxCtosJEbg/edit?usp=sharing"",""ปราจีนบุรี!I84"")+IMPORTRANGE(""https://docs.google.com/spread"&amp;"sheets/d/1BIDqLLg5jk3v59G8NlR8rk5xfQDKne0sAvZHSj7TI6I/edit?usp=sharing"",""พระนครศรีอยุธยา!I84"")+IMPORTRANGE(""https://docs.google.com/spreadsheets/d/1YXvxf8Yu6_rV4hTBrwMqAcAnv6DfhUxh5emyM3CJp_w/edit?usp=sharing"",""เพชรบุรี!I84"")+IMPORTRANGE(""https://"&amp;"docs.google.com/spreadsheets/d/19KBlQQs7uwvsao6t2n-KvW3Ax8J8uRRfZPq1zPbXgKc/edit?usp=sharing"",""ระยอง!I84"")+IMPORTRANGE(""https://docs.google.com/spreadsheets/d/1jQ6P4QcrGM89YfqcC_PxOHGCMq5ezhucwJd8ci-NHng/edit?usp=sharing"",""ราชบุรี!I84"")+IMPORTRANGE"&amp;"(""https://docs.google.com/spreadsheets/d/1lufeA2cfFqM-elVq2hznhDzC6Pr7wkJ9ZG_sYNGCMCU/edit?usp=sharing"",""ลพบุรี!I84"")+IMPORTRANGE(""https://docs.google.com/spreadsheets/d/10oOiF7loTyfsTkbd4MpaIm0HQ9SwB7IYHdIUvt-U1Uc/edit?usp=sharing"",""สระแก้ว!I84"")"&amp;"+IMPORTRANGE(""https://docs.google.com/spreadsheets/d/1xmPlrr1QbdSIKvl1dWUl9K4PjAfSL9oeMr_37QVzcxc/edit?usp=sharing"",""สระบุรี!I84"")+IMPORTRANGE(""https://docs.google.com/spreadsheets/d/1j51vR6CYVGhABJpv6tkstgok82RLpXieLzW1yOY5rHw/edit?usp=sharing"",""ส"&amp;"ิงห์บุรี!I84"")+IMPORTRANGE(""https://docs.google.com/spreadsheets/d/1H1EalTWKUSzO4Z1-1CwzoDUaVffgrThEBe2sl74kKG0/edit?usp=sharing"",""สุพรรณบุรี!I84"")+IMPORTRANGE(""https://docs.google.com/spreadsheets/d/1BmIruG_sIrJLYao_Pdr7zVArWsfoBt2692TMi6x_854/edit"&amp;"?usp=sharing"",""อ่างทอง!I84"")"),0)</f>
        <v>0</v>
      </c>
      <c r="J84" s="182">
        <f ca="1">IFERROR(__xludf.DUMMYFUNCTION("IMPORTRANGE(""https://docs.google.com/spreadsheets/d/13wPX838HrBrQMCywv1BsuMkt4PEKTChp52zj44s2izQ/edit?usp=sharing"",""กาญจนบุรี!J84"")+IMPORTRANGE(""https://docs.google.com/spreadsheets/d/1ddFKvqj1W1NEiWytbGlB1zMx_ykJDVtmfEQ-6-lIUBA/edit?usp=sharing"","""&amp;"จันทบุรี!J84"")+IMPORTRANGE(""https://docs.google.com/spreadsheets/d/1T1PQvRODqOBZk8BRht_U031fIS1beLA0Ub2CEytj2q0/edit?usp=sharing"",""ฉะเชิงเทรา!J84"")+IMPORTRANGE(""https://docs.google.com/spreadsheets/d/11tr1B-Bhyr79v2bkwVh5h_fR-PStkgjlZtkrZpYurG0/edit"&amp;"?usp=sharing"",""ชลบุรี!J84"")+IMPORTRANGE(""https://docs.google.com/spreadsheets/d/1hh-FVnSX0vozXhGluamEcS54Dw9_zqW0N7qJUWgJ0Sw/edit?usp=sharing"",""ชัยนาท!J84"")+IMPORTRANGE(""https://docs.google.com/spreadsheets/d/1jkqa6GXxSacMcY1eN8AHjMNJ_7dDXMJVRLDla"&amp;"FSOdPM/edit?usp=sharing"",""ตราด!J84"")+IMPORTRANGE(""https://docs.google.com/spreadsheets/d/18hSgUJ3VwClqi_qtULmmW3cLr0oe3OKaSYoKzdpTsYQ/edit?usp=sharing"",""นครนายก!J84"")+IMPORTRANGE(""https://docs.google.com/spreadsheets/d/1YTZo6WM2dQ6Ix6FSdnL5P7uVnVK"&amp;"u40sxZu975tgG10E/edit?usp=sharing"",""นครปฐม!J84"")+IMPORTRANGE(""https://docs.google.com/spreadsheets/d/1OYoGg4WDg5RIzwGeB10padOxJF9E_Vljuvvct_M7RDo/edit?usp=sharing"",""ปทุมธานี!J84"")+IMPORTRANGE(""https://docs.google.com/spreadsheets/d/1GbCIE4D4wk9FUo"&amp;"zzqk7SxfDMxDVBwVmI5zcaVUSzKAc/edit?usp=sharing"",""ประจวบคีรีขันธ์!J84"")+IMPORTRANGE(""https://docs.google.com/spreadsheets/d/1vVf6wykvW_lAyu7Yo9L4hUTqHqIeP_qcVuxCtosJEbg/edit?usp=sharing"",""ปราจีนบุรี!J84"")+IMPORTRANGE(""https://docs.google.com/spread"&amp;"sheets/d/1BIDqLLg5jk3v59G8NlR8rk5xfQDKne0sAvZHSj7TI6I/edit?usp=sharing"",""พระนครศรีอยุธยา!J84"")+IMPORTRANGE(""https://docs.google.com/spreadsheets/d/1YXvxf8Yu6_rV4hTBrwMqAcAnv6DfhUxh5emyM3CJp_w/edit?usp=sharing"",""เพชรบุรี!J84"")+IMPORTRANGE(""https://"&amp;"docs.google.com/spreadsheets/d/19KBlQQs7uwvsao6t2n-KvW3Ax8J8uRRfZPq1zPbXgKc/edit?usp=sharing"",""ระยอง!J84"")+IMPORTRANGE(""https://docs.google.com/spreadsheets/d/1jQ6P4QcrGM89YfqcC_PxOHGCMq5ezhucwJd8ci-NHng/edit?usp=sharing"",""ราชบุรี!J84"")+IMPORTRANGE"&amp;"(""https://docs.google.com/spreadsheets/d/1lufeA2cfFqM-elVq2hznhDzC6Pr7wkJ9ZG_sYNGCMCU/edit?usp=sharing"",""ลพบุรี!J84"")+IMPORTRANGE(""https://docs.google.com/spreadsheets/d/10oOiF7loTyfsTkbd4MpaIm0HQ9SwB7IYHdIUvt-U1Uc/edit?usp=sharing"",""สระแก้ว!J84"")"&amp;"+IMPORTRANGE(""https://docs.google.com/spreadsheets/d/1xmPlrr1QbdSIKvl1dWUl9K4PjAfSL9oeMr_37QVzcxc/edit?usp=sharing"",""สระบุรี!J84"")+IMPORTRANGE(""https://docs.google.com/spreadsheets/d/1j51vR6CYVGhABJpv6tkstgok82RLpXieLzW1yOY5rHw/edit?usp=sharing"",""ส"&amp;"ิงห์บุรี!J84"")+IMPORTRANGE(""https://docs.google.com/spreadsheets/d/1H1EalTWKUSzO4Z1-1CwzoDUaVffgrThEBe2sl74kKG0/edit?usp=sharing"",""สุพรรณบุรี!J84"")+IMPORTRANGE(""https://docs.google.com/spreadsheets/d/1BmIruG_sIrJLYao_Pdr7zVArWsfoBt2692TMi6x_854/edit"&amp;"?usp=sharing"",""อ่างทอง!J84"")"),0)</f>
        <v>0</v>
      </c>
      <c r="K84" s="183">
        <f t="shared" ca="1" si="41"/>
        <v>0</v>
      </c>
      <c r="L84" s="165"/>
      <c r="M84" s="165"/>
      <c r="N84" s="165"/>
      <c r="O84" s="165"/>
      <c r="P84" s="165"/>
    </row>
    <row r="85" spans="1:16" ht="18.75" x14ac:dyDescent="0.25">
      <c r="A85" s="167"/>
      <c r="B85" s="168"/>
      <c r="C85" s="168"/>
      <c r="D85" s="168"/>
      <c r="E85" s="174"/>
      <c r="F85" s="174"/>
      <c r="G85" s="172"/>
      <c r="H85" s="180" t="s">
        <v>33</v>
      </c>
      <c r="I85" s="184">
        <f ca="1">IFERROR(__xludf.DUMMYFUNCTION("IMPORTRANGE(""https://docs.google.com/spreadsheets/d/13wPX838HrBrQMCywv1BsuMkt4PEKTChp52zj44s2izQ/edit?usp=sharing"",""กาญจนบุรี!I85"")+IMPORTRANGE(""https://docs.google.com/spreadsheets/d/1ddFKvqj1W1NEiWytbGlB1zMx_ykJDVtmfEQ-6-lIUBA/edit?usp=sharing"","""&amp;"จันทบุรี!I85"")+IMPORTRANGE(""https://docs.google.com/spreadsheets/d/1T1PQvRODqOBZk8BRht_U031fIS1beLA0Ub2CEytj2q0/edit?usp=sharing"",""ฉะเชิงเทรา!I85"")+IMPORTRANGE(""https://docs.google.com/spreadsheets/d/11tr1B-Bhyr79v2bkwVh5h_fR-PStkgjlZtkrZpYurG0/edit"&amp;"?usp=sharing"",""ชลบุรี!I85"")+IMPORTRANGE(""https://docs.google.com/spreadsheets/d/1hh-FVnSX0vozXhGluamEcS54Dw9_zqW0N7qJUWgJ0Sw/edit?usp=sharing"",""ชัยนาท!I85"")+IMPORTRANGE(""https://docs.google.com/spreadsheets/d/1jkqa6GXxSacMcY1eN8AHjMNJ_7dDXMJVRLDla"&amp;"FSOdPM/edit?usp=sharing"",""ตราด!I85"")+IMPORTRANGE(""https://docs.google.com/spreadsheets/d/18hSgUJ3VwClqi_qtULmmW3cLr0oe3OKaSYoKzdpTsYQ/edit?usp=sharing"",""นครนายก!I85"")+IMPORTRANGE(""https://docs.google.com/spreadsheets/d/1YTZo6WM2dQ6Ix6FSdnL5P7uVnVK"&amp;"u40sxZu975tgG10E/edit?usp=sharing"",""นครปฐม!I85"")+IMPORTRANGE(""https://docs.google.com/spreadsheets/d/1OYoGg4WDg5RIzwGeB10padOxJF9E_Vljuvvct_M7RDo/edit?usp=sharing"",""ปทุมธานี!I85"")+IMPORTRANGE(""https://docs.google.com/spreadsheets/d/1GbCIE4D4wk9FUo"&amp;"zzqk7SxfDMxDVBwVmI5zcaVUSzKAc/edit?usp=sharing"",""ประจวบคีรีขันธ์!I85"")+IMPORTRANGE(""https://docs.google.com/spreadsheets/d/1vVf6wykvW_lAyu7Yo9L4hUTqHqIeP_qcVuxCtosJEbg/edit?usp=sharing"",""ปราจีนบุรี!I85"")+IMPORTRANGE(""https://docs.google.com/spread"&amp;"sheets/d/1BIDqLLg5jk3v59G8NlR8rk5xfQDKne0sAvZHSj7TI6I/edit?usp=sharing"",""พระนครศรีอยุธยา!I85"")+IMPORTRANGE(""https://docs.google.com/spreadsheets/d/1YXvxf8Yu6_rV4hTBrwMqAcAnv6DfhUxh5emyM3CJp_w/edit?usp=sharing"",""เพชรบุรี!I85"")+IMPORTRANGE(""https://"&amp;"docs.google.com/spreadsheets/d/19KBlQQs7uwvsao6t2n-KvW3Ax8J8uRRfZPq1zPbXgKc/edit?usp=sharing"",""ระยอง!I85"")+IMPORTRANGE(""https://docs.google.com/spreadsheets/d/1jQ6P4QcrGM89YfqcC_PxOHGCMq5ezhucwJd8ci-NHng/edit?usp=sharing"",""ราชบุรี!I85"")+IMPORTRANGE"&amp;"(""https://docs.google.com/spreadsheets/d/1lufeA2cfFqM-elVq2hznhDzC6Pr7wkJ9ZG_sYNGCMCU/edit?usp=sharing"",""ลพบุรี!I85"")+IMPORTRANGE(""https://docs.google.com/spreadsheets/d/10oOiF7loTyfsTkbd4MpaIm0HQ9SwB7IYHdIUvt-U1Uc/edit?usp=sharing"",""สระแก้ว!I85"")"&amp;"+IMPORTRANGE(""https://docs.google.com/spreadsheets/d/1xmPlrr1QbdSIKvl1dWUl9K4PjAfSL9oeMr_37QVzcxc/edit?usp=sharing"",""สระบุรี!I85"")+IMPORTRANGE(""https://docs.google.com/spreadsheets/d/1j51vR6CYVGhABJpv6tkstgok82RLpXieLzW1yOY5rHw/edit?usp=sharing"",""ส"&amp;"ิงห์บุรี!I85"")+IMPORTRANGE(""https://docs.google.com/spreadsheets/d/1H1EalTWKUSzO4Z1-1CwzoDUaVffgrThEBe2sl74kKG0/edit?usp=sharing"",""สุพรรณบุรี!I85"")+IMPORTRANGE(""https://docs.google.com/spreadsheets/d/1BmIruG_sIrJLYao_Pdr7zVArWsfoBt2692TMi6x_854/edit"&amp;"?usp=sharing"",""อ่างทอง!I85"")"),0)</f>
        <v>0</v>
      </c>
      <c r="J85" s="182">
        <f ca="1">IFERROR(__xludf.DUMMYFUNCTION("IMPORTRANGE(""https://docs.google.com/spreadsheets/d/13wPX838HrBrQMCywv1BsuMkt4PEKTChp52zj44s2izQ/edit?usp=sharing"",""กาญจนบุรี!J85"")+IMPORTRANGE(""https://docs.google.com/spreadsheets/d/1ddFKvqj1W1NEiWytbGlB1zMx_ykJDVtmfEQ-6-lIUBA/edit?usp=sharing"","""&amp;"จันทบุรี!J85"")+IMPORTRANGE(""https://docs.google.com/spreadsheets/d/1T1PQvRODqOBZk8BRht_U031fIS1beLA0Ub2CEytj2q0/edit?usp=sharing"",""ฉะเชิงเทรา!J85"")+IMPORTRANGE(""https://docs.google.com/spreadsheets/d/11tr1B-Bhyr79v2bkwVh5h_fR-PStkgjlZtkrZpYurG0/edit"&amp;"?usp=sharing"",""ชลบุรี!J85"")+IMPORTRANGE(""https://docs.google.com/spreadsheets/d/1hh-FVnSX0vozXhGluamEcS54Dw9_zqW0N7qJUWgJ0Sw/edit?usp=sharing"",""ชัยนาท!J85"")+IMPORTRANGE(""https://docs.google.com/spreadsheets/d/1jkqa6GXxSacMcY1eN8AHjMNJ_7dDXMJVRLDla"&amp;"FSOdPM/edit?usp=sharing"",""ตราด!J85"")+IMPORTRANGE(""https://docs.google.com/spreadsheets/d/18hSgUJ3VwClqi_qtULmmW3cLr0oe3OKaSYoKzdpTsYQ/edit?usp=sharing"",""นครนายก!J85"")+IMPORTRANGE(""https://docs.google.com/spreadsheets/d/1YTZo6WM2dQ6Ix6FSdnL5P7uVnVK"&amp;"u40sxZu975tgG10E/edit?usp=sharing"",""นครปฐม!J85"")+IMPORTRANGE(""https://docs.google.com/spreadsheets/d/1OYoGg4WDg5RIzwGeB10padOxJF9E_Vljuvvct_M7RDo/edit?usp=sharing"",""ปทุมธานี!J85"")+IMPORTRANGE(""https://docs.google.com/spreadsheets/d/1GbCIE4D4wk9FUo"&amp;"zzqk7SxfDMxDVBwVmI5zcaVUSzKAc/edit?usp=sharing"",""ประจวบคีรีขันธ์!J85"")+IMPORTRANGE(""https://docs.google.com/spreadsheets/d/1vVf6wykvW_lAyu7Yo9L4hUTqHqIeP_qcVuxCtosJEbg/edit?usp=sharing"",""ปราจีนบุรี!J85"")+IMPORTRANGE(""https://docs.google.com/spread"&amp;"sheets/d/1BIDqLLg5jk3v59G8NlR8rk5xfQDKne0sAvZHSj7TI6I/edit?usp=sharing"",""พระนครศรีอยุธยา!J85"")+IMPORTRANGE(""https://docs.google.com/spreadsheets/d/1YXvxf8Yu6_rV4hTBrwMqAcAnv6DfhUxh5emyM3CJp_w/edit?usp=sharing"",""เพชรบุรี!J85"")+IMPORTRANGE(""https://"&amp;"docs.google.com/spreadsheets/d/19KBlQQs7uwvsao6t2n-KvW3Ax8J8uRRfZPq1zPbXgKc/edit?usp=sharing"",""ระยอง!J85"")+IMPORTRANGE(""https://docs.google.com/spreadsheets/d/1jQ6P4QcrGM89YfqcC_PxOHGCMq5ezhucwJd8ci-NHng/edit?usp=sharing"",""ราชบุรี!J85"")+IMPORTRANGE"&amp;"(""https://docs.google.com/spreadsheets/d/1lufeA2cfFqM-elVq2hznhDzC6Pr7wkJ9ZG_sYNGCMCU/edit?usp=sharing"",""ลพบุรี!J85"")+IMPORTRANGE(""https://docs.google.com/spreadsheets/d/10oOiF7loTyfsTkbd4MpaIm0HQ9SwB7IYHdIUvt-U1Uc/edit?usp=sharing"",""สระแก้ว!J85"")"&amp;"+IMPORTRANGE(""https://docs.google.com/spreadsheets/d/1xmPlrr1QbdSIKvl1dWUl9K4PjAfSL9oeMr_37QVzcxc/edit?usp=sharing"",""สระบุรี!J85"")+IMPORTRANGE(""https://docs.google.com/spreadsheets/d/1j51vR6CYVGhABJpv6tkstgok82RLpXieLzW1yOY5rHw/edit?usp=sharing"",""ส"&amp;"ิงห์บุรี!J85"")+IMPORTRANGE(""https://docs.google.com/spreadsheets/d/1H1EalTWKUSzO4Z1-1CwzoDUaVffgrThEBe2sl74kKG0/edit?usp=sharing"",""สุพรรณบุรี!J85"")+IMPORTRANGE(""https://docs.google.com/spreadsheets/d/1BmIruG_sIrJLYao_Pdr7zVArWsfoBt2692TMi6x_854/edit"&amp;"?usp=sharing"",""อ่างทอง!J85"")"),0)</f>
        <v>0</v>
      </c>
      <c r="K85" s="183">
        <f t="shared" ca="1" si="41"/>
        <v>0</v>
      </c>
      <c r="L85" s="165"/>
      <c r="M85" s="165"/>
      <c r="N85" s="165"/>
      <c r="O85" s="165"/>
      <c r="P85" s="165"/>
    </row>
    <row r="86" spans="1:16" ht="18.75" x14ac:dyDescent="0.25">
      <c r="A86" s="167"/>
      <c r="B86" s="168"/>
      <c r="C86" s="168"/>
      <c r="D86" s="168"/>
      <c r="E86" s="179" t="s">
        <v>39</v>
      </c>
      <c r="F86" s="174"/>
      <c r="G86" s="172"/>
      <c r="H86" s="180" t="s">
        <v>32</v>
      </c>
      <c r="I86" s="184">
        <f ca="1">IFERROR(__xludf.DUMMYFUNCTION("IMPORTRANGE(""https://docs.google.com/spreadsheets/d/13wPX838HrBrQMCywv1BsuMkt4PEKTChp52zj44s2izQ/edit?usp=sharing"",""กาญจนบุรี!I86"")+IMPORTRANGE(""https://docs.google.com/spreadsheets/d/1ddFKvqj1W1NEiWytbGlB1zMx_ykJDVtmfEQ-6-lIUBA/edit?usp=sharing"","""&amp;"จันทบุรี!I86"")+IMPORTRANGE(""https://docs.google.com/spreadsheets/d/1T1PQvRODqOBZk8BRht_U031fIS1beLA0Ub2CEytj2q0/edit?usp=sharing"",""ฉะเชิงเทรา!I86"")+IMPORTRANGE(""https://docs.google.com/spreadsheets/d/11tr1B-Bhyr79v2bkwVh5h_fR-PStkgjlZtkrZpYurG0/edit"&amp;"?usp=sharing"",""ชลบุรี!I86"")+IMPORTRANGE(""https://docs.google.com/spreadsheets/d/1hh-FVnSX0vozXhGluamEcS54Dw9_zqW0N7qJUWgJ0Sw/edit?usp=sharing"",""ชัยนาท!I86"")+IMPORTRANGE(""https://docs.google.com/spreadsheets/d/1jkqa6GXxSacMcY1eN8AHjMNJ_7dDXMJVRLDla"&amp;"FSOdPM/edit?usp=sharing"",""ตราด!I86"")+IMPORTRANGE(""https://docs.google.com/spreadsheets/d/18hSgUJ3VwClqi_qtULmmW3cLr0oe3OKaSYoKzdpTsYQ/edit?usp=sharing"",""นครนายก!I86"")+IMPORTRANGE(""https://docs.google.com/spreadsheets/d/1YTZo6WM2dQ6Ix6FSdnL5P7uVnVK"&amp;"u40sxZu975tgG10E/edit?usp=sharing"",""นครปฐม!I86"")+IMPORTRANGE(""https://docs.google.com/spreadsheets/d/1OYoGg4WDg5RIzwGeB10padOxJF9E_Vljuvvct_M7RDo/edit?usp=sharing"",""ปทุมธานี!I86"")+IMPORTRANGE(""https://docs.google.com/spreadsheets/d/1GbCIE4D4wk9FUo"&amp;"zzqk7SxfDMxDVBwVmI5zcaVUSzKAc/edit?usp=sharing"",""ประจวบคีรีขันธ์!I86"")+IMPORTRANGE(""https://docs.google.com/spreadsheets/d/1vVf6wykvW_lAyu7Yo9L4hUTqHqIeP_qcVuxCtosJEbg/edit?usp=sharing"",""ปราจีนบุรี!I86"")+IMPORTRANGE(""https://docs.google.com/spread"&amp;"sheets/d/1BIDqLLg5jk3v59G8NlR8rk5xfQDKne0sAvZHSj7TI6I/edit?usp=sharing"",""พระนครศรีอยุธยา!I86"")+IMPORTRANGE(""https://docs.google.com/spreadsheets/d/1YXvxf8Yu6_rV4hTBrwMqAcAnv6DfhUxh5emyM3CJp_w/edit?usp=sharing"",""เพชรบุรี!I86"")+IMPORTRANGE(""https://"&amp;"docs.google.com/spreadsheets/d/19KBlQQs7uwvsao6t2n-KvW3Ax8J8uRRfZPq1zPbXgKc/edit?usp=sharing"",""ระยอง!I86"")+IMPORTRANGE(""https://docs.google.com/spreadsheets/d/1jQ6P4QcrGM89YfqcC_PxOHGCMq5ezhucwJd8ci-NHng/edit?usp=sharing"",""ราชบุรี!I86"")+IMPORTRANGE"&amp;"(""https://docs.google.com/spreadsheets/d/1lufeA2cfFqM-elVq2hznhDzC6Pr7wkJ9ZG_sYNGCMCU/edit?usp=sharing"",""ลพบุรี!I86"")+IMPORTRANGE(""https://docs.google.com/spreadsheets/d/10oOiF7loTyfsTkbd4MpaIm0HQ9SwB7IYHdIUvt-U1Uc/edit?usp=sharing"",""สระแก้ว!I86"")"&amp;"+IMPORTRANGE(""https://docs.google.com/spreadsheets/d/1xmPlrr1QbdSIKvl1dWUl9K4PjAfSL9oeMr_37QVzcxc/edit?usp=sharing"",""สระบุรี!I86"")+IMPORTRANGE(""https://docs.google.com/spreadsheets/d/1j51vR6CYVGhABJpv6tkstgok82RLpXieLzW1yOY5rHw/edit?usp=sharing"",""ส"&amp;"ิงห์บุรี!I86"")+IMPORTRANGE(""https://docs.google.com/spreadsheets/d/1H1EalTWKUSzO4Z1-1CwzoDUaVffgrThEBe2sl74kKG0/edit?usp=sharing"",""สุพรรณบุรี!I86"")+IMPORTRANGE(""https://docs.google.com/spreadsheets/d/1BmIruG_sIrJLYao_Pdr7zVArWsfoBt2692TMi6x_854/edit"&amp;"?usp=sharing"",""อ่างทอง!I86"")"),0)</f>
        <v>0</v>
      </c>
      <c r="J86" s="182">
        <f ca="1">IFERROR(__xludf.DUMMYFUNCTION("IMPORTRANGE(""https://docs.google.com/spreadsheets/d/13wPX838HrBrQMCywv1BsuMkt4PEKTChp52zj44s2izQ/edit?usp=sharing"",""กาญจนบุรี!J86"")+IMPORTRANGE(""https://docs.google.com/spreadsheets/d/1ddFKvqj1W1NEiWytbGlB1zMx_ykJDVtmfEQ-6-lIUBA/edit?usp=sharing"","""&amp;"จันทบุรี!J86"")+IMPORTRANGE(""https://docs.google.com/spreadsheets/d/1T1PQvRODqOBZk8BRht_U031fIS1beLA0Ub2CEytj2q0/edit?usp=sharing"",""ฉะเชิงเทรา!J86"")+IMPORTRANGE(""https://docs.google.com/spreadsheets/d/11tr1B-Bhyr79v2bkwVh5h_fR-PStkgjlZtkrZpYurG0/edit"&amp;"?usp=sharing"",""ชลบุรี!J86"")+IMPORTRANGE(""https://docs.google.com/spreadsheets/d/1hh-FVnSX0vozXhGluamEcS54Dw9_zqW0N7qJUWgJ0Sw/edit?usp=sharing"",""ชัยนาท!J86"")+IMPORTRANGE(""https://docs.google.com/spreadsheets/d/1jkqa6GXxSacMcY1eN8AHjMNJ_7dDXMJVRLDla"&amp;"FSOdPM/edit?usp=sharing"",""ตราด!J86"")+IMPORTRANGE(""https://docs.google.com/spreadsheets/d/18hSgUJ3VwClqi_qtULmmW3cLr0oe3OKaSYoKzdpTsYQ/edit?usp=sharing"",""นครนายก!J86"")+IMPORTRANGE(""https://docs.google.com/spreadsheets/d/1YTZo6WM2dQ6Ix6FSdnL5P7uVnVK"&amp;"u40sxZu975tgG10E/edit?usp=sharing"",""นครปฐม!J86"")+IMPORTRANGE(""https://docs.google.com/spreadsheets/d/1OYoGg4WDg5RIzwGeB10padOxJF9E_Vljuvvct_M7RDo/edit?usp=sharing"",""ปทุมธานี!J86"")+IMPORTRANGE(""https://docs.google.com/spreadsheets/d/1GbCIE4D4wk9FUo"&amp;"zzqk7SxfDMxDVBwVmI5zcaVUSzKAc/edit?usp=sharing"",""ประจวบคีรีขันธ์!J86"")+IMPORTRANGE(""https://docs.google.com/spreadsheets/d/1vVf6wykvW_lAyu7Yo9L4hUTqHqIeP_qcVuxCtosJEbg/edit?usp=sharing"",""ปราจีนบุรี!J86"")+IMPORTRANGE(""https://docs.google.com/spread"&amp;"sheets/d/1BIDqLLg5jk3v59G8NlR8rk5xfQDKne0sAvZHSj7TI6I/edit?usp=sharing"",""พระนครศรีอยุธยา!J86"")+IMPORTRANGE(""https://docs.google.com/spreadsheets/d/1YXvxf8Yu6_rV4hTBrwMqAcAnv6DfhUxh5emyM3CJp_w/edit?usp=sharing"",""เพชรบุรี!J86"")+IMPORTRANGE(""https://"&amp;"docs.google.com/spreadsheets/d/19KBlQQs7uwvsao6t2n-KvW3Ax8J8uRRfZPq1zPbXgKc/edit?usp=sharing"",""ระยอง!J86"")+IMPORTRANGE(""https://docs.google.com/spreadsheets/d/1jQ6P4QcrGM89YfqcC_PxOHGCMq5ezhucwJd8ci-NHng/edit?usp=sharing"",""ราชบุรี!J86"")+IMPORTRANGE"&amp;"(""https://docs.google.com/spreadsheets/d/1lufeA2cfFqM-elVq2hznhDzC6Pr7wkJ9ZG_sYNGCMCU/edit?usp=sharing"",""ลพบุรี!J86"")+IMPORTRANGE(""https://docs.google.com/spreadsheets/d/10oOiF7loTyfsTkbd4MpaIm0HQ9SwB7IYHdIUvt-U1Uc/edit?usp=sharing"",""สระแก้ว!J86"")"&amp;"+IMPORTRANGE(""https://docs.google.com/spreadsheets/d/1xmPlrr1QbdSIKvl1dWUl9K4PjAfSL9oeMr_37QVzcxc/edit?usp=sharing"",""สระบุรี!J86"")+IMPORTRANGE(""https://docs.google.com/spreadsheets/d/1j51vR6CYVGhABJpv6tkstgok82RLpXieLzW1yOY5rHw/edit?usp=sharing"",""ส"&amp;"ิงห์บุรี!J86"")+IMPORTRANGE(""https://docs.google.com/spreadsheets/d/1H1EalTWKUSzO4Z1-1CwzoDUaVffgrThEBe2sl74kKG0/edit?usp=sharing"",""สุพรรณบุรี!J86"")+IMPORTRANGE(""https://docs.google.com/spreadsheets/d/1BmIruG_sIrJLYao_Pdr7zVArWsfoBt2692TMi6x_854/edit"&amp;"?usp=sharing"",""อ่างทอง!J86"")"),0)</f>
        <v>0</v>
      </c>
      <c r="K86" s="183">
        <f t="shared" ca="1" si="41"/>
        <v>0</v>
      </c>
      <c r="L86" s="165"/>
      <c r="M86" s="165"/>
      <c r="N86" s="165"/>
      <c r="O86" s="165"/>
      <c r="P86" s="165"/>
    </row>
    <row r="87" spans="1:16" ht="18.75" x14ac:dyDescent="0.25">
      <c r="A87" s="167"/>
      <c r="B87" s="168"/>
      <c r="C87" s="168"/>
      <c r="D87" s="168"/>
      <c r="E87" s="174"/>
      <c r="F87" s="174"/>
      <c r="G87" s="172"/>
      <c r="H87" s="180" t="s">
        <v>33</v>
      </c>
      <c r="I87" s="184">
        <f ca="1">IFERROR(__xludf.DUMMYFUNCTION("IMPORTRANGE(""https://docs.google.com/spreadsheets/d/13wPX838HrBrQMCywv1BsuMkt4PEKTChp52zj44s2izQ/edit?usp=sharing"",""กาญจนบุรี!I87"")+IMPORTRANGE(""https://docs.google.com/spreadsheets/d/1ddFKvqj1W1NEiWytbGlB1zMx_ykJDVtmfEQ-6-lIUBA/edit?usp=sharing"","""&amp;"จันทบุรี!I87"")+IMPORTRANGE(""https://docs.google.com/spreadsheets/d/1T1PQvRODqOBZk8BRht_U031fIS1beLA0Ub2CEytj2q0/edit?usp=sharing"",""ฉะเชิงเทรา!I87"")+IMPORTRANGE(""https://docs.google.com/spreadsheets/d/11tr1B-Bhyr79v2bkwVh5h_fR-PStkgjlZtkrZpYurG0/edit"&amp;"?usp=sharing"",""ชลบุรี!I87"")+IMPORTRANGE(""https://docs.google.com/spreadsheets/d/1hh-FVnSX0vozXhGluamEcS54Dw9_zqW0N7qJUWgJ0Sw/edit?usp=sharing"",""ชัยนาท!I87"")+IMPORTRANGE(""https://docs.google.com/spreadsheets/d/1jkqa6GXxSacMcY1eN8AHjMNJ_7dDXMJVRLDla"&amp;"FSOdPM/edit?usp=sharing"",""ตราด!I87"")+IMPORTRANGE(""https://docs.google.com/spreadsheets/d/18hSgUJ3VwClqi_qtULmmW3cLr0oe3OKaSYoKzdpTsYQ/edit?usp=sharing"",""นครนายก!I87"")+IMPORTRANGE(""https://docs.google.com/spreadsheets/d/1YTZo6WM2dQ6Ix6FSdnL5P7uVnVK"&amp;"u40sxZu975tgG10E/edit?usp=sharing"",""นครปฐม!I87"")+IMPORTRANGE(""https://docs.google.com/spreadsheets/d/1OYoGg4WDg5RIzwGeB10padOxJF9E_Vljuvvct_M7RDo/edit?usp=sharing"",""ปทุมธานี!I87"")+IMPORTRANGE(""https://docs.google.com/spreadsheets/d/1GbCIE4D4wk9FUo"&amp;"zzqk7SxfDMxDVBwVmI5zcaVUSzKAc/edit?usp=sharing"",""ประจวบคีรีขันธ์!I87"")+IMPORTRANGE(""https://docs.google.com/spreadsheets/d/1vVf6wykvW_lAyu7Yo9L4hUTqHqIeP_qcVuxCtosJEbg/edit?usp=sharing"",""ปราจีนบุรี!I87"")+IMPORTRANGE(""https://docs.google.com/spread"&amp;"sheets/d/1BIDqLLg5jk3v59G8NlR8rk5xfQDKne0sAvZHSj7TI6I/edit?usp=sharing"",""พระนครศรีอยุธยา!I87"")+IMPORTRANGE(""https://docs.google.com/spreadsheets/d/1YXvxf8Yu6_rV4hTBrwMqAcAnv6DfhUxh5emyM3CJp_w/edit?usp=sharing"",""เพชรบุรี!I87"")+IMPORTRANGE(""https://"&amp;"docs.google.com/spreadsheets/d/19KBlQQs7uwvsao6t2n-KvW3Ax8J8uRRfZPq1zPbXgKc/edit?usp=sharing"",""ระยอง!I87"")+IMPORTRANGE(""https://docs.google.com/spreadsheets/d/1jQ6P4QcrGM89YfqcC_PxOHGCMq5ezhucwJd8ci-NHng/edit?usp=sharing"",""ราชบุรี!I87"")+IMPORTRANGE"&amp;"(""https://docs.google.com/spreadsheets/d/1lufeA2cfFqM-elVq2hznhDzC6Pr7wkJ9ZG_sYNGCMCU/edit?usp=sharing"",""ลพบุรี!I87"")+IMPORTRANGE(""https://docs.google.com/spreadsheets/d/10oOiF7loTyfsTkbd4MpaIm0HQ9SwB7IYHdIUvt-U1Uc/edit?usp=sharing"",""สระแก้ว!I87"")"&amp;"+IMPORTRANGE(""https://docs.google.com/spreadsheets/d/1xmPlrr1QbdSIKvl1dWUl9K4PjAfSL9oeMr_37QVzcxc/edit?usp=sharing"",""สระบุรี!I87"")+IMPORTRANGE(""https://docs.google.com/spreadsheets/d/1j51vR6CYVGhABJpv6tkstgok82RLpXieLzW1yOY5rHw/edit?usp=sharing"",""ส"&amp;"ิงห์บุรี!I87"")+IMPORTRANGE(""https://docs.google.com/spreadsheets/d/1H1EalTWKUSzO4Z1-1CwzoDUaVffgrThEBe2sl74kKG0/edit?usp=sharing"",""สุพรรณบุรี!I87"")+IMPORTRANGE(""https://docs.google.com/spreadsheets/d/1BmIruG_sIrJLYao_Pdr7zVArWsfoBt2692TMi6x_854/edit"&amp;"?usp=sharing"",""อ่างทอง!I87"")"),0)</f>
        <v>0</v>
      </c>
      <c r="J87" s="182">
        <f ca="1">IFERROR(__xludf.DUMMYFUNCTION("IMPORTRANGE(""https://docs.google.com/spreadsheets/d/13wPX838HrBrQMCywv1BsuMkt4PEKTChp52zj44s2izQ/edit?usp=sharing"",""กาญจนบุรี!J87"")+IMPORTRANGE(""https://docs.google.com/spreadsheets/d/1ddFKvqj1W1NEiWytbGlB1zMx_ykJDVtmfEQ-6-lIUBA/edit?usp=sharing"","""&amp;"จันทบุรี!J87"")+IMPORTRANGE(""https://docs.google.com/spreadsheets/d/1T1PQvRODqOBZk8BRht_U031fIS1beLA0Ub2CEytj2q0/edit?usp=sharing"",""ฉะเชิงเทรา!J87"")+IMPORTRANGE(""https://docs.google.com/spreadsheets/d/11tr1B-Bhyr79v2bkwVh5h_fR-PStkgjlZtkrZpYurG0/edit"&amp;"?usp=sharing"",""ชลบุรี!J87"")+IMPORTRANGE(""https://docs.google.com/spreadsheets/d/1hh-FVnSX0vozXhGluamEcS54Dw9_zqW0N7qJUWgJ0Sw/edit?usp=sharing"",""ชัยนาท!J87"")+IMPORTRANGE(""https://docs.google.com/spreadsheets/d/1jkqa6GXxSacMcY1eN8AHjMNJ_7dDXMJVRLDla"&amp;"FSOdPM/edit?usp=sharing"",""ตราด!J87"")+IMPORTRANGE(""https://docs.google.com/spreadsheets/d/18hSgUJ3VwClqi_qtULmmW3cLr0oe3OKaSYoKzdpTsYQ/edit?usp=sharing"",""นครนายก!J87"")+IMPORTRANGE(""https://docs.google.com/spreadsheets/d/1YTZo6WM2dQ6Ix6FSdnL5P7uVnVK"&amp;"u40sxZu975tgG10E/edit?usp=sharing"",""นครปฐม!J87"")+IMPORTRANGE(""https://docs.google.com/spreadsheets/d/1OYoGg4WDg5RIzwGeB10padOxJF9E_Vljuvvct_M7RDo/edit?usp=sharing"",""ปทุมธานี!J87"")+IMPORTRANGE(""https://docs.google.com/spreadsheets/d/1GbCIE4D4wk9FUo"&amp;"zzqk7SxfDMxDVBwVmI5zcaVUSzKAc/edit?usp=sharing"",""ประจวบคีรีขันธ์!J87"")+IMPORTRANGE(""https://docs.google.com/spreadsheets/d/1vVf6wykvW_lAyu7Yo9L4hUTqHqIeP_qcVuxCtosJEbg/edit?usp=sharing"",""ปราจีนบุรี!J87"")+IMPORTRANGE(""https://docs.google.com/spread"&amp;"sheets/d/1BIDqLLg5jk3v59G8NlR8rk5xfQDKne0sAvZHSj7TI6I/edit?usp=sharing"",""พระนครศรีอยุธยา!J87"")+IMPORTRANGE(""https://docs.google.com/spreadsheets/d/1YXvxf8Yu6_rV4hTBrwMqAcAnv6DfhUxh5emyM3CJp_w/edit?usp=sharing"",""เพชรบุรี!J87"")+IMPORTRANGE(""https://"&amp;"docs.google.com/spreadsheets/d/19KBlQQs7uwvsao6t2n-KvW3Ax8J8uRRfZPq1zPbXgKc/edit?usp=sharing"",""ระยอง!J87"")+IMPORTRANGE(""https://docs.google.com/spreadsheets/d/1jQ6P4QcrGM89YfqcC_PxOHGCMq5ezhucwJd8ci-NHng/edit?usp=sharing"",""ราชบุรี!J87"")+IMPORTRANGE"&amp;"(""https://docs.google.com/spreadsheets/d/1lufeA2cfFqM-elVq2hznhDzC6Pr7wkJ9ZG_sYNGCMCU/edit?usp=sharing"",""ลพบุรี!J87"")+IMPORTRANGE(""https://docs.google.com/spreadsheets/d/10oOiF7loTyfsTkbd4MpaIm0HQ9SwB7IYHdIUvt-U1Uc/edit?usp=sharing"",""สระแก้ว!J87"")"&amp;"+IMPORTRANGE(""https://docs.google.com/spreadsheets/d/1xmPlrr1QbdSIKvl1dWUl9K4PjAfSL9oeMr_37QVzcxc/edit?usp=sharing"",""สระบุรี!J87"")+IMPORTRANGE(""https://docs.google.com/spreadsheets/d/1j51vR6CYVGhABJpv6tkstgok82RLpXieLzW1yOY5rHw/edit?usp=sharing"",""ส"&amp;"ิงห์บุรี!J87"")+IMPORTRANGE(""https://docs.google.com/spreadsheets/d/1H1EalTWKUSzO4Z1-1CwzoDUaVffgrThEBe2sl74kKG0/edit?usp=sharing"",""สุพรรณบุรี!J87"")+IMPORTRANGE(""https://docs.google.com/spreadsheets/d/1BmIruG_sIrJLYao_Pdr7zVArWsfoBt2692TMi6x_854/edit"&amp;"?usp=sharing"",""อ่างทอง!J87"")"),0)</f>
        <v>0</v>
      </c>
      <c r="K87" s="183">
        <f t="shared" ca="1" si="41"/>
        <v>0</v>
      </c>
      <c r="L87" s="165"/>
      <c r="M87" s="165"/>
      <c r="N87" s="165"/>
      <c r="O87" s="165"/>
      <c r="P87" s="165"/>
    </row>
    <row r="88" spans="1:16" ht="18.75" x14ac:dyDescent="0.25">
      <c r="A88" s="167"/>
      <c r="B88" s="168"/>
      <c r="C88" s="168"/>
      <c r="D88" s="168"/>
      <c r="E88" s="179" t="s">
        <v>40</v>
      </c>
      <c r="F88" s="174"/>
      <c r="G88" s="172"/>
      <c r="H88" s="180" t="s">
        <v>32</v>
      </c>
      <c r="I88" s="184">
        <f ca="1">IFERROR(__xludf.DUMMYFUNCTION("IMPORTRANGE(""https://docs.google.com/spreadsheets/d/13wPX838HrBrQMCywv1BsuMkt4PEKTChp52zj44s2izQ/edit?usp=sharing"",""กาญจนบุรี!I88"")+IMPORTRANGE(""https://docs.google.com/spreadsheets/d/1ddFKvqj1W1NEiWytbGlB1zMx_ykJDVtmfEQ-6-lIUBA/edit?usp=sharing"","""&amp;"จันทบุรี!I88"")+IMPORTRANGE(""https://docs.google.com/spreadsheets/d/1T1PQvRODqOBZk8BRht_U031fIS1beLA0Ub2CEytj2q0/edit?usp=sharing"",""ฉะเชิงเทรา!I88"")+IMPORTRANGE(""https://docs.google.com/spreadsheets/d/11tr1B-Bhyr79v2bkwVh5h_fR-PStkgjlZtkrZpYurG0/edit"&amp;"?usp=sharing"",""ชลบุรี!I88"")+IMPORTRANGE(""https://docs.google.com/spreadsheets/d/1hh-FVnSX0vozXhGluamEcS54Dw9_zqW0N7qJUWgJ0Sw/edit?usp=sharing"",""ชัยนาท!I88"")+IMPORTRANGE(""https://docs.google.com/spreadsheets/d/1jkqa6GXxSacMcY1eN8AHjMNJ_7dDXMJVRLDla"&amp;"FSOdPM/edit?usp=sharing"",""ตราด!I88"")+IMPORTRANGE(""https://docs.google.com/spreadsheets/d/18hSgUJ3VwClqi_qtULmmW3cLr0oe3OKaSYoKzdpTsYQ/edit?usp=sharing"",""นครนายก!I88"")+IMPORTRANGE(""https://docs.google.com/spreadsheets/d/1YTZo6WM2dQ6Ix6FSdnL5P7uVnVK"&amp;"u40sxZu975tgG10E/edit?usp=sharing"",""นครปฐม!I88"")+IMPORTRANGE(""https://docs.google.com/spreadsheets/d/1OYoGg4WDg5RIzwGeB10padOxJF9E_Vljuvvct_M7RDo/edit?usp=sharing"",""ปทุมธานี!I88"")+IMPORTRANGE(""https://docs.google.com/spreadsheets/d/1GbCIE4D4wk9FUo"&amp;"zzqk7SxfDMxDVBwVmI5zcaVUSzKAc/edit?usp=sharing"",""ประจวบคีรีขันธ์!I88"")+IMPORTRANGE(""https://docs.google.com/spreadsheets/d/1vVf6wykvW_lAyu7Yo9L4hUTqHqIeP_qcVuxCtosJEbg/edit?usp=sharing"",""ปราจีนบุรี!I88"")+IMPORTRANGE(""https://docs.google.com/spread"&amp;"sheets/d/1BIDqLLg5jk3v59G8NlR8rk5xfQDKne0sAvZHSj7TI6I/edit?usp=sharing"",""พระนครศรีอยุธยา!I88"")+IMPORTRANGE(""https://docs.google.com/spreadsheets/d/1YXvxf8Yu6_rV4hTBrwMqAcAnv6DfhUxh5emyM3CJp_w/edit?usp=sharing"",""เพชรบุรี!I88"")+IMPORTRANGE(""https://"&amp;"docs.google.com/spreadsheets/d/19KBlQQs7uwvsao6t2n-KvW3Ax8J8uRRfZPq1zPbXgKc/edit?usp=sharing"",""ระยอง!I88"")+IMPORTRANGE(""https://docs.google.com/spreadsheets/d/1jQ6P4QcrGM89YfqcC_PxOHGCMq5ezhucwJd8ci-NHng/edit?usp=sharing"",""ราชบุรี!I88"")+IMPORTRANGE"&amp;"(""https://docs.google.com/spreadsheets/d/1lufeA2cfFqM-elVq2hznhDzC6Pr7wkJ9ZG_sYNGCMCU/edit?usp=sharing"",""ลพบุรี!I88"")+IMPORTRANGE(""https://docs.google.com/spreadsheets/d/10oOiF7loTyfsTkbd4MpaIm0HQ9SwB7IYHdIUvt-U1Uc/edit?usp=sharing"",""สระแก้ว!I88"")"&amp;"+IMPORTRANGE(""https://docs.google.com/spreadsheets/d/1xmPlrr1QbdSIKvl1dWUl9K4PjAfSL9oeMr_37QVzcxc/edit?usp=sharing"",""สระบุรี!I88"")+IMPORTRANGE(""https://docs.google.com/spreadsheets/d/1j51vR6CYVGhABJpv6tkstgok82RLpXieLzW1yOY5rHw/edit?usp=sharing"",""ส"&amp;"ิงห์บุรี!I88"")+IMPORTRANGE(""https://docs.google.com/spreadsheets/d/1H1EalTWKUSzO4Z1-1CwzoDUaVffgrThEBe2sl74kKG0/edit?usp=sharing"",""สุพรรณบุรี!I88"")+IMPORTRANGE(""https://docs.google.com/spreadsheets/d/1BmIruG_sIrJLYao_Pdr7zVArWsfoBt2692TMi6x_854/edit"&amp;"?usp=sharing"",""อ่างทอง!I88"")"),2)</f>
        <v>2</v>
      </c>
      <c r="J88" s="182">
        <f ca="1">IFERROR(__xludf.DUMMYFUNCTION("IMPORTRANGE(""https://docs.google.com/spreadsheets/d/13wPX838HrBrQMCywv1BsuMkt4PEKTChp52zj44s2izQ/edit?usp=sharing"",""กาญจนบุรี!J88"")+IMPORTRANGE(""https://docs.google.com/spreadsheets/d/1ddFKvqj1W1NEiWytbGlB1zMx_ykJDVtmfEQ-6-lIUBA/edit?usp=sharing"","""&amp;"จันทบุรี!J88"")+IMPORTRANGE(""https://docs.google.com/spreadsheets/d/1T1PQvRODqOBZk8BRht_U031fIS1beLA0Ub2CEytj2q0/edit?usp=sharing"",""ฉะเชิงเทรา!J88"")+IMPORTRANGE(""https://docs.google.com/spreadsheets/d/11tr1B-Bhyr79v2bkwVh5h_fR-PStkgjlZtkrZpYurG0/edit"&amp;"?usp=sharing"",""ชลบุรี!J88"")+IMPORTRANGE(""https://docs.google.com/spreadsheets/d/1hh-FVnSX0vozXhGluamEcS54Dw9_zqW0N7qJUWgJ0Sw/edit?usp=sharing"",""ชัยนาท!J88"")+IMPORTRANGE(""https://docs.google.com/spreadsheets/d/1jkqa6GXxSacMcY1eN8AHjMNJ_7dDXMJVRLDla"&amp;"FSOdPM/edit?usp=sharing"",""ตราด!J88"")+IMPORTRANGE(""https://docs.google.com/spreadsheets/d/18hSgUJ3VwClqi_qtULmmW3cLr0oe3OKaSYoKzdpTsYQ/edit?usp=sharing"",""นครนายก!J88"")+IMPORTRANGE(""https://docs.google.com/spreadsheets/d/1YTZo6WM2dQ6Ix6FSdnL5P7uVnVK"&amp;"u40sxZu975tgG10E/edit?usp=sharing"",""นครปฐม!J88"")+IMPORTRANGE(""https://docs.google.com/spreadsheets/d/1OYoGg4WDg5RIzwGeB10padOxJF9E_Vljuvvct_M7RDo/edit?usp=sharing"",""ปทุมธานี!J88"")+IMPORTRANGE(""https://docs.google.com/spreadsheets/d/1GbCIE4D4wk9FUo"&amp;"zzqk7SxfDMxDVBwVmI5zcaVUSzKAc/edit?usp=sharing"",""ประจวบคีรีขันธ์!J88"")+IMPORTRANGE(""https://docs.google.com/spreadsheets/d/1vVf6wykvW_lAyu7Yo9L4hUTqHqIeP_qcVuxCtosJEbg/edit?usp=sharing"",""ปราจีนบุรี!J88"")+IMPORTRANGE(""https://docs.google.com/spread"&amp;"sheets/d/1BIDqLLg5jk3v59G8NlR8rk5xfQDKne0sAvZHSj7TI6I/edit?usp=sharing"",""พระนครศรีอยุธยา!J88"")+IMPORTRANGE(""https://docs.google.com/spreadsheets/d/1YXvxf8Yu6_rV4hTBrwMqAcAnv6DfhUxh5emyM3CJp_w/edit?usp=sharing"",""เพชรบุรี!J88"")+IMPORTRANGE(""https://"&amp;"docs.google.com/spreadsheets/d/19KBlQQs7uwvsao6t2n-KvW3Ax8J8uRRfZPq1zPbXgKc/edit?usp=sharing"",""ระยอง!J88"")+IMPORTRANGE(""https://docs.google.com/spreadsheets/d/1jQ6P4QcrGM89YfqcC_PxOHGCMq5ezhucwJd8ci-NHng/edit?usp=sharing"",""ราชบุรี!J88"")+IMPORTRANGE"&amp;"(""https://docs.google.com/spreadsheets/d/1lufeA2cfFqM-elVq2hznhDzC6Pr7wkJ9ZG_sYNGCMCU/edit?usp=sharing"",""ลพบุรี!J88"")+IMPORTRANGE(""https://docs.google.com/spreadsheets/d/10oOiF7loTyfsTkbd4MpaIm0HQ9SwB7IYHdIUvt-U1Uc/edit?usp=sharing"",""สระแก้ว!J88"")"&amp;"+IMPORTRANGE(""https://docs.google.com/spreadsheets/d/1xmPlrr1QbdSIKvl1dWUl9K4PjAfSL9oeMr_37QVzcxc/edit?usp=sharing"",""สระบุรี!J88"")+IMPORTRANGE(""https://docs.google.com/spreadsheets/d/1j51vR6CYVGhABJpv6tkstgok82RLpXieLzW1yOY5rHw/edit?usp=sharing"",""ส"&amp;"ิงห์บุรี!J88"")+IMPORTRANGE(""https://docs.google.com/spreadsheets/d/1H1EalTWKUSzO4Z1-1CwzoDUaVffgrThEBe2sl74kKG0/edit?usp=sharing"",""สุพรรณบุรี!J88"")+IMPORTRANGE(""https://docs.google.com/spreadsheets/d/1BmIruG_sIrJLYao_Pdr7zVArWsfoBt2692TMi6x_854/edit"&amp;"?usp=sharing"",""อ่างทอง!J88"")"),0)</f>
        <v>0</v>
      </c>
      <c r="K88" s="183">
        <f t="shared" ca="1" si="41"/>
        <v>0</v>
      </c>
      <c r="L88" s="165"/>
      <c r="M88" s="165"/>
      <c r="N88" s="165"/>
      <c r="O88" s="165"/>
      <c r="P88" s="165"/>
    </row>
    <row r="89" spans="1:16" ht="18.75" x14ac:dyDescent="0.25">
      <c r="A89" s="167"/>
      <c r="B89" s="168"/>
      <c r="C89" s="168"/>
      <c r="D89" s="168"/>
      <c r="E89" s="174"/>
      <c r="F89" s="174"/>
      <c r="G89" s="172"/>
      <c r="H89" s="180" t="s">
        <v>33</v>
      </c>
      <c r="I89" s="184">
        <f ca="1">IFERROR(__xludf.DUMMYFUNCTION("IMPORTRANGE(""https://docs.google.com/spreadsheets/d/13wPX838HrBrQMCywv1BsuMkt4PEKTChp52zj44s2izQ/edit?usp=sharing"",""กาญจนบุรี!I89"")+IMPORTRANGE(""https://docs.google.com/spreadsheets/d/1ddFKvqj1W1NEiWytbGlB1zMx_ykJDVtmfEQ-6-lIUBA/edit?usp=sharing"","""&amp;"จันทบุรี!I89"")+IMPORTRANGE(""https://docs.google.com/spreadsheets/d/1T1PQvRODqOBZk8BRht_U031fIS1beLA0Ub2CEytj2q0/edit?usp=sharing"",""ฉะเชิงเทรา!I89"")+IMPORTRANGE(""https://docs.google.com/spreadsheets/d/11tr1B-Bhyr79v2bkwVh5h_fR-PStkgjlZtkrZpYurG0/edit"&amp;"?usp=sharing"",""ชลบุรี!I89"")+IMPORTRANGE(""https://docs.google.com/spreadsheets/d/1hh-FVnSX0vozXhGluamEcS54Dw9_zqW0N7qJUWgJ0Sw/edit?usp=sharing"",""ชัยนาท!I89"")+IMPORTRANGE(""https://docs.google.com/spreadsheets/d/1jkqa6GXxSacMcY1eN8AHjMNJ_7dDXMJVRLDla"&amp;"FSOdPM/edit?usp=sharing"",""ตราด!I89"")+IMPORTRANGE(""https://docs.google.com/spreadsheets/d/18hSgUJ3VwClqi_qtULmmW3cLr0oe3OKaSYoKzdpTsYQ/edit?usp=sharing"",""นครนายก!I89"")+IMPORTRANGE(""https://docs.google.com/spreadsheets/d/1YTZo6WM2dQ6Ix6FSdnL5P7uVnVK"&amp;"u40sxZu975tgG10E/edit?usp=sharing"",""นครปฐม!I89"")+IMPORTRANGE(""https://docs.google.com/spreadsheets/d/1OYoGg4WDg5RIzwGeB10padOxJF9E_Vljuvvct_M7RDo/edit?usp=sharing"",""ปทุมธานี!I89"")+IMPORTRANGE(""https://docs.google.com/spreadsheets/d/1GbCIE4D4wk9FUo"&amp;"zzqk7SxfDMxDVBwVmI5zcaVUSzKAc/edit?usp=sharing"",""ประจวบคีรีขันธ์!I89"")+IMPORTRANGE(""https://docs.google.com/spreadsheets/d/1vVf6wykvW_lAyu7Yo9L4hUTqHqIeP_qcVuxCtosJEbg/edit?usp=sharing"",""ปราจีนบุรี!I89"")+IMPORTRANGE(""https://docs.google.com/spread"&amp;"sheets/d/1BIDqLLg5jk3v59G8NlR8rk5xfQDKne0sAvZHSj7TI6I/edit?usp=sharing"",""พระนครศรีอยุธยา!I89"")+IMPORTRANGE(""https://docs.google.com/spreadsheets/d/1YXvxf8Yu6_rV4hTBrwMqAcAnv6DfhUxh5emyM3CJp_w/edit?usp=sharing"",""เพชรบุรี!I89"")+IMPORTRANGE(""https://"&amp;"docs.google.com/spreadsheets/d/19KBlQQs7uwvsao6t2n-KvW3Ax8J8uRRfZPq1zPbXgKc/edit?usp=sharing"",""ระยอง!I89"")+IMPORTRANGE(""https://docs.google.com/spreadsheets/d/1jQ6P4QcrGM89YfqcC_PxOHGCMq5ezhucwJd8ci-NHng/edit?usp=sharing"",""ราชบุรี!I89"")+IMPORTRANGE"&amp;"(""https://docs.google.com/spreadsheets/d/1lufeA2cfFqM-elVq2hznhDzC6Pr7wkJ9ZG_sYNGCMCU/edit?usp=sharing"",""ลพบุรี!I89"")+IMPORTRANGE(""https://docs.google.com/spreadsheets/d/10oOiF7loTyfsTkbd4MpaIm0HQ9SwB7IYHdIUvt-U1Uc/edit?usp=sharing"",""สระแก้ว!I89"")"&amp;"+IMPORTRANGE(""https://docs.google.com/spreadsheets/d/1xmPlrr1QbdSIKvl1dWUl9K4PjAfSL9oeMr_37QVzcxc/edit?usp=sharing"",""สระบุรี!I89"")+IMPORTRANGE(""https://docs.google.com/spreadsheets/d/1j51vR6CYVGhABJpv6tkstgok82RLpXieLzW1yOY5rHw/edit?usp=sharing"",""ส"&amp;"ิงห์บุรี!I89"")+IMPORTRANGE(""https://docs.google.com/spreadsheets/d/1H1EalTWKUSzO4Z1-1CwzoDUaVffgrThEBe2sl74kKG0/edit?usp=sharing"",""สุพรรณบุรี!I89"")+IMPORTRANGE(""https://docs.google.com/spreadsheets/d/1BmIruG_sIrJLYao_Pdr7zVArWsfoBt2692TMi6x_854/edit"&amp;"?usp=sharing"",""อ่างทอง!I89"")"),120)</f>
        <v>120</v>
      </c>
      <c r="J89" s="182">
        <f ca="1">IFERROR(__xludf.DUMMYFUNCTION("IMPORTRANGE(""https://docs.google.com/spreadsheets/d/13wPX838HrBrQMCywv1BsuMkt4PEKTChp52zj44s2izQ/edit?usp=sharing"",""กาญจนบุรี!J89"")+IMPORTRANGE(""https://docs.google.com/spreadsheets/d/1ddFKvqj1W1NEiWytbGlB1zMx_ykJDVtmfEQ-6-lIUBA/edit?usp=sharing"","""&amp;"จันทบุรี!J89"")+IMPORTRANGE(""https://docs.google.com/spreadsheets/d/1T1PQvRODqOBZk8BRht_U031fIS1beLA0Ub2CEytj2q0/edit?usp=sharing"",""ฉะเชิงเทรา!J89"")+IMPORTRANGE(""https://docs.google.com/spreadsheets/d/11tr1B-Bhyr79v2bkwVh5h_fR-PStkgjlZtkrZpYurG0/edit"&amp;"?usp=sharing"",""ชลบุรี!J89"")+IMPORTRANGE(""https://docs.google.com/spreadsheets/d/1hh-FVnSX0vozXhGluamEcS54Dw9_zqW0N7qJUWgJ0Sw/edit?usp=sharing"",""ชัยนาท!J89"")+IMPORTRANGE(""https://docs.google.com/spreadsheets/d/1jkqa6GXxSacMcY1eN8AHjMNJ_7dDXMJVRLDla"&amp;"FSOdPM/edit?usp=sharing"",""ตราด!J89"")+IMPORTRANGE(""https://docs.google.com/spreadsheets/d/18hSgUJ3VwClqi_qtULmmW3cLr0oe3OKaSYoKzdpTsYQ/edit?usp=sharing"",""นครนายก!J89"")+IMPORTRANGE(""https://docs.google.com/spreadsheets/d/1YTZo6WM2dQ6Ix6FSdnL5P7uVnVK"&amp;"u40sxZu975tgG10E/edit?usp=sharing"",""นครปฐม!J89"")+IMPORTRANGE(""https://docs.google.com/spreadsheets/d/1OYoGg4WDg5RIzwGeB10padOxJF9E_Vljuvvct_M7RDo/edit?usp=sharing"",""ปทุมธานี!J89"")+IMPORTRANGE(""https://docs.google.com/spreadsheets/d/1GbCIE4D4wk9FUo"&amp;"zzqk7SxfDMxDVBwVmI5zcaVUSzKAc/edit?usp=sharing"",""ประจวบคีรีขันธ์!J89"")+IMPORTRANGE(""https://docs.google.com/spreadsheets/d/1vVf6wykvW_lAyu7Yo9L4hUTqHqIeP_qcVuxCtosJEbg/edit?usp=sharing"",""ปราจีนบุรี!J89"")+IMPORTRANGE(""https://docs.google.com/spread"&amp;"sheets/d/1BIDqLLg5jk3v59G8NlR8rk5xfQDKne0sAvZHSj7TI6I/edit?usp=sharing"",""พระนครศรีอยุธยา!J89"")+IMPORTRANGE(""https://docs.google.com/spreadsheets/d/1YXvxf8Yu6_rV4hTBrwMqAcAnv6DfhUxh5emyM3CJp_w/edit?usp=sharing"",""เพชรบุรี!J89"")+IMPORTRANGE(""https://"&amp;"docs.google.com/spreadsheets/d/19KBlQQs7uwvsao6t2n-KvW3Ax8J8uRRfZPq1zPbXgKc/edit?usp=sharing"",""ระยอง!J89"")+IMPORTRANGE(""https://docs.google.com/spreadsheets/d/1jQ6P4QcrGM89YfqcC_PxOHGCMq5ezhucwJd8ci-NHng/edit?usp=sharing"",""ราชบุรี!J89"")+IMPORTRANGE"&amp;"(""https://docs.google.com/spreadsheets/d/1lufeA2cfFqM-elVq2hznhDzC6Pr7wkJ9ZG_sYNGCMCU/edit?usp=sharing"",""ลพบุรี!J89"")+IMPORTRANGE(""https://docs.google.com/spreadsheets/d/10oOiF7loTyfsTkbd4MpaIm0HQ9SwB7IYHdIUvt-U1Uc/edit?usp=sharing"",""สระแก้ว!J89"")"&amp;"+IMPORTRANGE(""https://docs.google.com/spreadsheets/d/1xmPlrr1QbdSIKvl1dWUl9K4PjAfSL9oeMr_37QVzcxc/edit?usp=sharing"",""สระบุรี!J89"")+IMPORTRANGE(""https://docs.google.com/spreadsheets/d/1j51vR6CYVGhABJpv6tkstgok82RLpXieLzW1yOY5rHw/edit?usp=sharing"",""ส"&amp;"ิงห์บุรี!J89"")+IMPORTRANGE(""https://docs.google.com/spreadsheets/d/1H1EalTWKUSzO4Z1-1CwzoDUaVffgrThEBe2sl74kKG0/edit?usp=sharing"",""สุพรรณบุรี!J89"")+IMPORTRANGE(""https://docs.google.com/spreadsheets/d/1BmIruG_sIrJLYao_Pdr7zVArWsfoBt2692TMi6x_854/edit"&amp;"?usp=sharing"",""อ่างทอง!J89"")"),0)</f>
        <v>0</v>
      </c>
      <c r="K89" s="183">
        <f t="shared" ca="1" si="41"/>
        <v>0</v>
      </c>
      <c r="L89" s="165"/>
      <c r="M89" s="165"/>
      <c r="N89" s="165"/>
      <c r="O89" s="165"/>
      <c r="P89" s="165"/>
    </row>
    <row r="90" spans="1:16" ht="18.75" x14ac:dyDescent="0.25">
      <c r="A90" s="167"/>
      <c r="B90" s="168"/>
      <c r="C90" s="168"/>
      <c r="D90" s="173" t="s">
        <v>41</v>
      </c>
      <c r="E90" s="174"/>
      <c r="F90" s="174"/>
      <c r="G90" s="172"/>
      <c r="H90" s="185" t="s">
        <v>32</v>
      </c>
      <c r="I90" s="184">
        <f ca="1">IFERROR(__xludf.DUMMYFUNCTION("IMPORTRANGE(""https://docs.google.com/spreadsheets/d/13wPX838HrBrQMCywv1BsuMkt4PEKTChp52zj44s2izQ/edit?usp=sharing"",""กาญจนบุรี!I90"")+IMPORTRANGE(""https://docs.google.com/spreadsheets/d/1ddFKvqj1W1NEiWytbGlB1zMx_ykJDVtmfEQ-6-lIUBA/edit?usp=sharing"","""&amp;"จันทบุรี!I90"")+IMPORTRANGE(""https://docs.google.com/spreadsheets/d/1T1PQvRODqOBZk8BRht_U031fIS1beLA0Ub2CEytj2q0/edit?usp=sharing"",""ฉะเชิงเทรา!I90"")+IMPORTRANGE(""https://docs.google.com/spreadsheets/d/11tr1B-Bhyr79v2bkwVh5h_fR-PStkgjlZtkrZpYurG0/edit"&amp;"?usp=sharing"",""ชลบุรี!I90"")+IMPORTRANGE(""https://docs.google.com/spreadsheets/d/1hh-FVnSX0vozXhGluamEcS54Dw9_zqW0N7qJUWgJ0Sw/edit?usp=sharing"",""ชัยนาท!I90"")+IMPORTRANGE(""https://docs.google.com/spreadsheets/d/1jkqa6GXxSacMcY1eN8AHjMNJ_7dDXMJVRLDla"&amp;"FSOdPM/edit?usp=sharing"",""ตราด!I90"")+IMPORTRANGE(""https://docs.google.com/spreadsheets/d/18hSgUJ3VwClqi_qtULmmW3cLr0oe3OKaSYoKzdpTsYQ/edit?usp=sharing"",""นครนายก!I90"")+IMPORTRANGE(""https://docs.google.com/spreadsheets/d/1YTZo6WM2dQ6Ix6FSdnL5P7uVnVK"&amp;"u40sxZu975tgG10E/edit?usp=sharing"",""นครปฐม!I90"")+IMPORTRANGE(""https://docs.google.com/spreadsheets/d/1OYoGg4WDg5RIzwGeB10padOxJF9E_Vljuvvct_M7RDo/edit?usp=sharing"",""ปทุมธานี!I90"")+IMPORTRANGE(""https://docs.google.com/spreadsheets/d/1GbCIE4D4wk9FUo"&amp;"zzqk7SxfDMxDVBwVmI5zcaVUSzKAc/edit?usp=sharing"",""ประจวบคีรีขันธ์!I90"")+IMPORTRANGE(""https://docs.google.com/spreadsheets/d/1vVf6wykvW_lAyu7Yo9L4hUTqHqIeP_qcVuxCtosJEbg/edit?usp=sharing"",""ปราจีนบุรี!I90"")+IMPORTRANGE(""https://docs.google.com/spread"&amp;"sheets/d/1BIDqLLg5jk3v59G8NlR8rk5xfQDKne0sAvZHSj7TI6I/edit?usp=sharing"",""พระนครศรีอยุธยา!I90"")+IMPORTRANGE(""https://docs.google.com/spreadsheets/d/1YXvxf8Yu6_rV4hTBrwMqAcAnv6DfhUxh5emyM3CJp_w/edit?usp=sharing"",""เพชรบุรี!I90"")+IMPORTRANGE(""https://"&amp;"docs.google.com/spreadsheets/d/19KBlQQs7uwvsao6t2n-KvW3Ax8J8uRRfZPq1zPbXgKc/edit?usp=sharing"",""ระยอง!I90"")+IMPORTRANGE(""https://docs.google.com/spreadsheets/d/1jQ6P4QcrGM89YfqcC_PxOHGCMq5ezhucwJd8ci-NHng/edit?usp=sharing"",""ราชบุรี!I90"")+IMPORTRANGE"&amp;"(""https://docs.google.com/spreadsheets/d/1lufeA2cfFqM-elVq2hznhDzC6Pr7wkJ9ZG_sYNGCMCU/edit?usp=sharing"",""ลพบุรี!I90"")+IMPORTRANGE(""https://docs.google.com/spreadsheets/d/10oOiF7loTyfsTkbd4MpaIm0HQ9SwB7IYHdIUvt-U1Uc/edit?usp=sharing"",""สระแก้ว!I90"")"&amp;"+IMPORTRANGE(""https://docs.google.com/spreadsheets/d/1xmPlrr1QbdSIKvl1dWUl9K4PjAfSL9oeMr_37QVzcxc/edit?usp=sharing"",""สระบุรี!I90"")+IMPORTRANGE(""https://docs.google.com/spreadsheets/d/1j51vR6CYVGhABJpv6tkstgok82RLpXieLzW1yOY5rHw/edit?usp=sharing"",""ส"&amp;"ิงห์บุรี!I90"")+IMPORTRANGE(""https://docs.google.com/spreadsheets/d/1H1EalTWKUSzO4Z1-1CwzoDUaVffgrThEBe2sl74kKG0/edit?usp=sharing"",""สุพรรณบุรี!I90"")+IMPORTRANGE(""https://docs.google.com/spreadsheets/d/1BmIruG_sIrJLYao_Pdr7zVArWsfoBt2692TMi6x_854/edit"&amp;"?usp=sharing"",""อ่างทอง!I90"")"),2)</f>
        <v>2</v>
      </c>
      <c r="J90" s="182">
        <f ca="1">IFERROR(__xludf.DUMMYFUNCTION("IMPORTRANGE(""https://docs.google.com/spreadsheets/d/13wPX838HrBrQMCywv1BsuMkt4PEKTChp52zj44s2izQ/edit?usp=sharing"",""กาญจนบุรี!J90"")+IMPORTRANGE(""https://docs.google.com/spreadsheets/d/1ddFKvqj1W1NEiWytbGlB1zMx_ykJDVtmfEQ-6-lIUBA/edit?usp=sharing"","""&amp;"จันทบุรี!J90"")+IMPORTRANGE(""https://docs.google.com/spreadsheets/d/1T1PQvRODqOBZk8BRht_U031fIS1beLA0Ub2CEytj2q0/edit?usp=sharing"",""ฉะเชิงเทรา!J90"")+IMPORTRANGE(""https://docs.google.com/spreadsheets/d/11tr1B-Bhyr79v2bkwVh5h_fR-PStkgjlZtkrZpYurG0/edit"&amp;"?usp=sharing"",""ชลบุรี!J90"")+IMPORTRANGE(""https://docs.google.com/spreadsheets/d/1hh-FVnSX0vozXhGluamEcS54Dw9_zqW0N7qJUWgJ0Sw/edit?usp=sharing"",""ชัยนาท!J90"")+IMPORTRANGE(""https://docs.google.com/spreadsheets/d/1jkqa6GXxSacMcY1eN8AHjMNJ_7dDXMJVRLDla"&amp;"FSOdPM/edit?usp=sharing"",""ตราด!J90"")+IMPORTRANGE(""https://docs.google.com/spreadsheets/d/18hSgUJ3VwClqi_qtULmmW3cLr0oe3OKaSYoKzdpTsYQ/edit?usp=sharing"",""นครนายก!J90"")+IMPORTRANGE(""https://docs.google.com/spreadsheets/d/1YTZo6WM2dQ6Ix6FSdnL5P7uVnVK"&amp;"u40sxZu975tgG10E/edit?usp=sharing"",""นครปฐม!J90"")+IMPORTRANGE(""https://docs.google.com/spreadsheets/d/1OYoGg4WDg5RIzwGeB10padOxJF9E_Vljuvvct_M7RDo/edit?usp=sharing"",""ปทุมธานี!J90"")+IMPORTRANGE(""https://docs.google.com/spreadsheets/d/1GbCIE4D4wk9FUo"&amp;"zzqk7SxfDMxDVBwVmI5zcaVUSzKAc/edit?usp=sharing"",""ประจวบคีรีขันธ์!J90"")+IMPORTRANGE(""https://docs.google.com/spreadsheets/d/1vVf6wykvW_lAyu7Yo9L4hUTqHqIeP_qcVuxCtosJEbg/edit?usp=sharing"",""ปราจีนบุรี!J90"")+IMPORTRANGE(""https://docs.google.com/spread"&amp;"sheets/d/1BIDqLLg5jk3v59G8NlR8rk5xfQDKne0sAvZHSj7TI6I/edit?usp=sharing"",""พระนครศรีอยุธยา!J90"")+IMPORTRANGE(""https://docs.google.com/spreadsheets/d/1YXvxf8Yu6_rV4hTBrwMqAcAnv6DfhUxh5emyM3CJp_w/edit?usp=sharing"",""เพชรบุรี!J90"")+IMPORTRANGE(""https://"&amp;"docs.google.com/spreadsheets/d/19KBlQQs7uwvsao6t2n-KvW3Ax8J8uRRfZPq1zPbXgKc/edit?usp=sharing"",""ระยอง!J90"")+IMPORTRANGE(""https://docs.google.com/spreadsheets/d/1jQ6P4QcrGM89YfqcC_PxOHGCMq5ezhucwJd8ci-NHng/edit?usp=sharing"",""ราชบุรี!J90"")+IMPORTRANGE"&amp;"(""https://docs.google.com/spreadsheets/d/1lufeA2cfFqM-elVq2hznhDzC6Pr7wkJ9ZG_sYNGCMCU/edit?usp=sharing"",""ลพบุรี!J90"")+IMPORTRANGE(""https://docs.google.com/spreadsheets/d/10oOiF7loTyfsTkbd4MpaIm0HQ9SwB7IYHdIUvt-U1Uc/edit?usp=sharing"",""สระแก้ว!J90"")"&amp;"+IMPORTRANGE(""https://docs.google.com/spreadsheets/d/1xmPlrr1QbdSIKvl1dWUl9K4PjAfSL9oeMr_37QVzcxc/edit?usp=sharing"",""สระบุรี!J90"")+IMPORTRANGE(""https://docs.google.com/spreadsheets/d/1j51vR6CYVGhABJpv6tkstgok82RLpXieLzW1yOY5rHw/edit?usp=sharing"",""ส"&amp;"ิงห์บุรี!J90"")+IMPORTRANGE(""https://docs.google.com/spreadsheets/d/1H1EalTWKUSzO4Z1-1CwzoDUaVffgrThEBe2sl74kKG0/edit?usp=sharing"",""สุพรรณบุรี!J90"")+IMPORTRANGE(""https://docs.google.com/spreadsheets/d/1BmIruG_sIrJLYao_Pdr7zVArWsfoBt2692TMi6x_854/edit"&amp;"?usp=sharing"",""อ่างทอง!J90"")"),0)</f>
        <v>0</v>
      </c>
      <c r="K90" s="183">
        <f t="shared" ca="1" si="41"/>
        <v>0</v>
      </c>
      <c r="L90" s="165"/>
      <c r="M90" s="165"/>
      <c r="N90" s="165"/>
      <c r="O90" s="165"/>
      <c r="P90" s="165"/>
    </row>
    <row r="91" spans="1:16" ht="19.5" x14ac:dyDescent="0.3">
      <c r="A91" s="146" t="s">
        <v>42</v>
      </c>
      <c r="B91" s="147"/>
      <c r="C91" s="148"/>
      <c r="D91" s="147"/>
      <c r="E91" s="147"/>
      <c r="F91" s="147"/>
      <c r="G91" s="149"/>
      <c r="H91" s="149"/>
      <c r="I91" s="150"/>
      <c r="J91" s="150"/>
      <c r="K91" s="151"/>
      <c r="L91" s="151"/>
      <c r="M91" s="151"/>
      <c r="N91" s="151"/>
      <c r="O91" s="151"/>
      <c r="P91" s="151"/>
    </row>
    <row r="92" spans="1:16" ht="19.5" x14ac:dyDescent="0.3">
      <c r="A92" s="152"/>
      <c r="B92" s="153" t="s">
        <v>43</v>
      </c>
      <c r="C92" s="41"/>
      <c r="D92" s="154"/>
      <c r="E92" s="41"/>
      <c r="F92" s="41"/>
      <c r="G92" s="44"/>
      <c r="H92" s="155" t="s">
        <v>44</v>
      </c>
      <c r="I92" s="156">
        <f t="shared" ref="I92:J92" ca="1" si="43">I108</f>
        <v>93</v>
      </c>
      <c r="J92" s="156">
        <f t="shared" ca="1" si="43"/>
        <v>0</v>
      </c>
      <c r="K92" s="48">
        <f t="shared" ref="K92:K93" ca="1" si="44">IF(I92&gt;0,J92*100/I92,0)</f>
        <v>0</v>
      </c>
      <c r="L92" s="47"/>
      <c r="M92" s="47"/>
      <c r="N92" s="47"/>
      <c r="O92" s="47"/>
      <c r="P92" s="47"/>
    </row>
    <row r="93" spans="1:16" ht="19.5" x14ac:dyDescent="0.3">
      <c r="A93" s="152"/>
      <c r="B93" s="41"/>
      <c r="C93" s="41"/>
      <c r="D93" s="154"/>
      <c r="E93" s="41"/>
      <c r="F93" s="41"/>
      <c r="G93" s="44"/>
      <c r="H93" s="155" t="s">
        <v>33</v>
      </c>
      <c r="I93" s="156">
        <f t="shared" ref="I93:J93" ca="1" si="45">I109</f>
        <v>31</v>
      </c>
      <c r="J93" s="156">
        <f t="shared" ca="1" si="45"/>
        <v>0</v>
      </c>
      <c r="K93" s="48">
        <f t="shared" ca="1" si="44"/>
        <v>0</v>
      </c>
      <c r="L93" s="47"/>
      <c r="M93" s="47"/>
      <c r="N93" s="47"/>
      <c r="O93" s="47"/>
      <c r="P93" s="47"/>
    </row>
    <row r="94" spans="1:16" ht="19.5" x14ac:dyDescent="0.3">
      <c r="A94" s="157"/>
      <c r="B94" s="53"/>
      <c r="C94" s="158" t="s">
        <v>16</v>
      </c>
      <c r="D94" s="159" t="s">
        <v>17</v>
      </c>
      <c r="E94" s="53"/>
      <c r="F94" s="53"/>
      <c r="G94" s="55"/>
      <c r="H94" s="160" t="s">
        <v>12</v>
      </c>
      <c r="I94" s="57"/>
      <c r="J94" s="57"/>
      <c r="K94" s="58"/>
      <c r="L94" s="161">
        <f t="shared" ref="L94:N94" ca="1" si="46">L95+L96</f>
        <v>205600</v>
      </c>
      <c r="M94" s="161">
        <f t="shared" ca="1" si="46"/>
        <v>183900</v>
      </c>
      <c r="N94" s="161">
        <f t="shared" ca="1" si="46"/>
        <v>108464</v>
      </c>
      <c r="O94" s="161">
        <f t="shared" ref="O94:O102" ca="1" si="47">IF(L94&gt;0,N94*100/L94,0)</f>
        <v>52.754863813229569</v>
      </c>
      <c r="P94" s="161">
        <f t="shared" ref="P94:P102" ca="1" si="48">IF(M94&gt;0,N94*100/M94,0)</f>
        <v>58.979880369766178</v>
      </c>
    </row>
    <row r="95" spans="1:16" ht="18.75" x14ac:dyDescent="0.25">
      <c r="A95" s="157"/>
      <c r="B95" s="53"/>
      <c r="C95" s="53"/>
      <c r="D95" s="53"/>
      <c r="E95" s="60" t="s">
        <v>18</v>
      </c>
      <c r="F95" s="53"/>
      <c r="G95" s="55"/>
      <c r="H95" s="162" t="s">
        <v>12</v>
      </c>
      <c r="I95" s="57"/>
      <c r="J95" s="57"/>
      <c r="K95" s="58"/>
      <c r="L95" s="59">
        <f t="shared" ref="L95:N95" ca="1" si="49">L98+L101</f>
        <v>0</v>
      </c>
      <c r="M95" s="59">
        <f t="shared" ca="1" si="49"/>
        <v>0</v>
      </c>
      <c r="N95" s="59">
        <f t="shared" ca="1" si="49"/>
        <v>0</v>
      </c>
      <c r="O95" s="59">
        <f t="shared" ca="1" si="47"/>
        <v>0</v>
      </c>
      <c r="P95" s="59">
        <f t="shared" ca="1" si="48"/>
        <v>0</v>
      </c>
    </row>
    <row r="96" spans="1:16" ht="18.75" x14ac:dyDescent="0.25">
      <c r="A96" s="157"/>
      <c r="B96" s="53"/>
      <c r="C96" s="53"/>
      <c r="D96" s="53"/>
      <c r="E96" s="60" t="s">
        <v>19</v>
      </c>
      <c r="F96" s="53"/>
      <c r="G96" s="55"/>
      <c r="H96" s="162" t="s">
        <v>12</v>
      </c>
      <c r="I96" s="57"/>
      <c r="J96" s="57"/>
      <c r="K96" s="58"/>
      <c r="L96" s="59">
        <f t="shared" ref="L96:N96" ca="1" si="50">L99+L102</f>
        <v>205600</v>
      </c>
      <c r="M96" s="59">
        <f t="shared" ca="1" si="50"/>
        <v>183900</v>
      </c>
      <c r="N96" s="59">
        <f t="shared" ca="1" si="50"/>
        <v>108464</v>
      </c>
      <c r="O96" s="59">
        <f t="shared" ca="1" si="47"/>
        <v>52.754863813229569</v>
      </c>
      <c r="P96" s="59">
        <f t="shared" ca="1" si="48"/>
        <v>58.979880369766178</v>
      </c>
    </row>
    <row r="97" spans="1:16" ht="18.75" x14ac:dyDescent="0.25">
      <c r="A97" s="157"/>
      <c r="B97" s="53"/>
      <c r="C97" s="53"/>
      <c r="D97" s="54" t="s">
        <v>20</v>
      </c>
      <c r="E97" s="53"/>
      <c r="F97" s="53"/>
      <c r="G97" s="55"/>
      <c r="H97" s="163" t="s">
        <v>12</v>
      </c>
      <c r="I97" s="164"/>
      <c r="J97" s="164"/>
      <c r="K97" s="165"/>
      <c r="L97" s="59">
        <f t="shared" ref="L97:N97" ca="1" si="51">L98+L99</f>
        <v>205600</v>
      </c>
      <c r="M97" s="59">
        <f t="shared" ca="1" si="51"/>
        <v>183900</v>
      </c>
      <c r="N97" s="59">
        <f t="shared" ca="1" si="51"/>
        <v>108464</v>
      </c>
      <c r="O97" s="59">
        <f t="shared" ca="1" si="47"/>
        <v>52.754863813229569</v>
      </c>
      <c r="P97" s="59">
        <f t="shared" ca="1" si="48"/>
        <v>58.979880369766178</v>
      </c>
    </row>
    <row r="98" spans="1:16" ht="18.75" x14ac:dyDescent="0.25">
      <c r="A98" s="157"/>
      <c r="B98" s="53"/>
      <c r="C98" s="53"/>
      <c r="D98" s="53"/>
      <c r="E98" s="60" t="s">
        <v>34</v>
      </c>
      <c r="F98" s="53"/>
      <c r="G98" s="55"/>
      <c r="H98" s="163" t="s">
        <v>12</v>
      </c>
      <c r="I98" s="164"/>
      <c r="J98" s="164"/>
      <c r="K98" s="165"/>
      <c r="L98" s="59">
        <f ca="1">IFERROR(__xludf.DUMMYFUNCTION("IMPORTRANGE(""https://docs.google.com/spreadsheets/d/13wPX838HrBrQMCywv1BsuMkt4PEKTChp52zj44s2izQ/edit?usp=sharing"",""กาญจนบุรี!L98"")+IMPORTRANGE(""https://docs.google.com/spreadsheets/d/1ddFKvqj1W1NEiWytbGlB1zMx_ykJDVtmfEQ-6-lIUBA/edit?usp=sharing"","""&amp;"จันทบุรี!L98"")+IMPORTRANGE(""https://docs.google.com/spreadsheets/d/1T1PQvRODqOBZk8BRht_U031fIS1beLA0Ub2CEytj2q0/edit?usp=sharing"",""ฉะเชิงเทรา!L98"")+IMPORTRANGE(""https://docs.google.com/spreadsheets/d/11tr1B-Bhyr79v2bkwVh5h_fR-PStkgjlZtkrZpYurG0/edit"&amp;"?usp=sharing"",""ชลบุรี!L98"")+IMPORTRANGE(""https://docs.google.com/spreadsheets/d/1hh-FVnSX0vozXhGluamEcS54Dw9_zqW0N7qJUWgJ0Sw/edit?usp=sharing"",""ชัยนาท!L98"")+IMPORTRANGE(""https://docs.google.com/spreadsheets/d/1jkqa6GXxSacMcY1eN8AHjMNJ_7dDXMJVRLDla"&amp;"FSOdPM/edit?usp=sharing"",""ตราด!L98"")+IMPORTRANGE(""https://docs.google.com/spreadsheets/d/18hSgUJ3VwClqi_qtULmmW3cLr0oe3OKaSYoKzdpTsYQ/edit?usp=sharing"",""นครนายก!L98"")+IMPORTRANGE(""https://docs.google.com/spreadsheets/d/1YTZo6WM2dQ6Ix6FSdnL5P7uVnVK"&amp;"u40sxZu975tgG10E/edit?usp=sharing"",""นครปฐม!L98"")+IMPORTRANGE(""https://docs.google.com/spreadsheets/d/1OYoGg4WDg5RIzwGeB10padOxJF9E_Vljuvvct_M7RDo/edit?usp=sharing"",""ปทุมธานี!L98"")+IMPORTRANGE(""https://docs.google.com/spreadsheets/d/1GbCIE4D4wk9FUo"&amp;"zzqk7SxfDMxDVBwVmI5zcaVUSzKAc/edit?usp=sharing"",""ประจวบคีรีขันธ์!L98"")+IMPORTRANGE(""https://docs.google.com/spreadsheets/d/1vVf6wykvW_lAyu7Yo9L4hUTqHqIeP_qcVuxCtosJEbg/edit?usp=sharing"",""ปราจีนบุรี!L98"")+IMPORTRANGE(""https://docs.google.com/spread"&amp;"sheets/d/1BIDqLLg5jk3v59G8NlR8rk5xfQDKne0sAvZHSj7TI6I/edit?usp=sharing"",""พระนครศรีอยุธยา!L98"")+IMPORTRANGE(""https://docs.google.com/spreadsheets/d/1YXvxf8Yu6_rV4hTBrwMqAcAnv6DfhUxh5emyM3CJp_w/edit?usp=sharing"",""เพชรบุรี!L98"")+IMPORTRANGE(""https://"&amp;"docs.google.com/spreadsheets/d/19KBlQQs7uwvsao6t2n-KvW3Ax8J8uRRfZPq1zPbXgKc/edit?usp=sharing"",""ระยอง!L98"")+IMPORTRANGE(""https://docs.google.com/spreadsheets/d/1jQ6P4QcrGM89YfqcC_PxOHGCMq5ezhucwJd8ci-NHng/edit?usp=sharing"",""ราชบุรี!L98"")+IMPORTRANGE"&amp;"(""https://docs.google.com/spreadsheets/d/1lufeA2cfFqM-elVq2hznhDzC6Pr7wkJ9ZG_sYNGCMCU/edit?usp=sharing"",""ลพบุรี!L98"")+IMPORTRANGE(""https://docs.google.com/spreadsheets/d/10oOiF7loTyfsTkbd4MpaIm0HQ9SwB7IYHdIUvt-U1Uc/edit?usp=sharing"",""สระแก้ว!L98"")"&amp;"+IMPORTRANGE(""https://docs.google.com/spreadsheets/d/1xmPlrr1QbdSIKvl1dWUl9K4PjAfSL9oeMr_37QVzcxc/edit?usp=sharing"",""สระบุรี!L98"")+IMPORTRANGE(""https://docs.google.com/spreadsheets/d/1j51vR6CYVGhABJpv6tkstgok82RLpXieLzW1yOY5rHw/edit?usp=sharing"",""ส"&amp;"ิงห์บุรี!L98"")+IMPORTRANGE(""https://docs.google.com/spreadsheets/d/1H1EalTWKUSzO4Z1-1CwzoDUaVffgrThEBe2sl74kKG0/edit?usp=sharing"",""สุพรรณบุรี!L98"")+IMPORTRANGE(""https://docs.google.com/spreadsheets/d/1BmIruG_sIrJLYao_Pdr7zVArWsfoBt2692TMi6x_854/edit"&amp;"?usp=sharing"",""อ่างทอง!L98"")"),0)</f>
        <v>0</v>
      </c>
      <c r="M98" s="59">
        <f ca="1">IFERROR(__xludf.DUMMYFUNCTION("IMPORTRANGE(""https://docs.google.com/spreadsheets/d/13wPX838HrBrQMCywv1BsuMkt4PEKTChp52zj44s2izQ/edit?usp=sharing"",""กาญจนบุรี!M98"")+IMPORTRANGE(""https://docs.google.com/spreadsheets/d/1ddFKvqj1W1NEiWytbGlB1zMx_ykJDVtmfEQ-6-lIUBA/edit?usp=sharing"","""&amp;"จันทบุรี!M98"")+IMPORTRANGE(""https://docs.google.com/spreadsheets/d/1T1PQvRODqOBZk8BRht_U031fIS1beLA0Ub2CEytj2q0/edit?usp=sharing"",""ฉะเชิงเทรา!M98"")+IMPORTRANGE(""https://docs.google.com/spreadsheets/d/11tr1B-Bhyr79v2bkwVh5h_fR-PStkgjlZtkrZpYurG0/edit"&amp;"?usp=sharing"",""ชลบุรี!M98"")+IMPORTRANGE(""https://docs.google.com/spreadsheets/d/1hh-FVnSX0vozXhGluamEcS54Dw9_zqW0N7qJUWgJ0Sw/edit?usp=sharing"",""ชัยนาท!M98"")+IMPORTRANGE(""https://docs.google.com/spreadsheets/d/1jkqa6GXxSacMcY1eN8AHjMNJ_7dDXMJVRLDla"&amp;"FSOdPM/edit?usp=sharing"",""ตราด!M98"")+IMPORTRANGE(""https://docs.google.com/spreadsheets/d/18hSgUJ3VwClqi_qtULmmW3cLr0oe3OKaSYoKzdpTsYQ/edit?usp=sharing"",""นครนายก!M98"")+IMPORTRANGE(""https://docs.google.com/spreadsheets/d/1YTZo6WM2dQ6Ix6FSdnL5P7uVnVK"&amp;"u40sxZu975tgG10E/edit?usp=sharing"",""นครปฐม!M98"")+IMPORTRANGE(""https://docs.google.com/spreadsheets/d/1OYoGg4WDg5RIzwGeB10padOxJF9E_Vljuvvct_M7RDo/edit?usp=sharing"",""ปทุมธานี!M98"")+IMPORTRANGE(""https://docs.google.com/spreadsheets/d/1GbCIE4D4wk9FUo"&amp;"zzqk7SxfDMxDVBwVmI5zcaVUSzKAc/edit?usp=sharing"",""ประจวบคีรีขันธ์!M98"")+IMPORTRANGE(""https://docs.google.com/spreadsheets/d/1vVf6wykvW_lAyu7Yo9L4hUTqHqIeP_qcVuxCtosJEbg/edit?usp=sharing"",""ปราจีนบุรี!M98"")+IMPORTRANGE(""https://docs.google.com/spread"&amp;"sheets/d/1BIDqLLg5jk3v59G8NlR8rk5xfQDKne0sAvZHSj7TI6I/edit?usp=sharing"",""พระนครศรีอยุธยา!M98"")+IMPORTRANGE(""https://docs.google.com/spreadsheets/d/1YXvxf8Yu6_rV4hTBrwMqAcAnv6DfhUxh5emyM3CJp_w/edit?usp=sharing"",""เพชรบุรี!M98"")+IMPORTRANGE(""https://"&amp;"docs.google.com/spreadsheets/d/19KBlQQs7uwvsao6t2n-KvW3Ax8J8uRRfZPq1zPbXgKc/edit?usp=sharing"",""ระยอง!M98"")+IMPORTRANGE(""https://docs.google.com/spreadsheets/d/1jQ6P4QcrGM89YfqcC_PxOHGCMq5ezhucwJd8ci-NHng/edit?usp=sharing"",""ราชบุรี!M98"")+IMPORTRANGE"&amp;"(""https://docs.google.com/spreadsheets/d/1lufeA2cfFqM-elVq2hznhDzC6Pr7wkJ9ZG_sYNGCMCU/edit?usp=sharing"",""ลพบุรี!M98"")+IMPORTRANGE(""https://docs.google.com/spreadsheets/d/10oOiF7loTyfsTkbd4MpaIm0HQ9SwB7IYHdIUvt-U1Uc/edit?usp=sharing"",""สระแก้ว!M98"")"&amp;"+IMPORTRANGE(""https://docs.google.com/spreadsheets/d/1xmPlrr1QbdSIKvl1dWUl9K4PjAfSL9oeMr_37QVzcxc/edit?usp=sharing"",""สระบุรี!M98"")+IMPORTRANGE(""https://docs.google.com/spreadsheets/d/1j51vR6CYVGhABJpv6tkstgok82RLpXieLzW1yOY5rHw/edit?usp=sharing"",""ส"&amp;"ิงห์บุรี!M98"")+IMPORTRANGE(""https://docs.google.com/spreadsheets/d/1H1EalTWKUSzO4Z1-1CwzoDUaVffgrThEBe2sl74kKG0/edit?usp=sharing"",""สุพรรณบุรี!M98"")+IMPORTRANGE(""https://docs.google.com/spreadsheets/d/1BmIruG_sIrJLYao_Pdr7zVArWsfoBt2692TMi6x_854/edit"&amp;"?usp=sharing"",""อ่างทอง!M98"")"),0)</f>
        <v>0</v>
      </c>
      <c r="N98" s="59">
        <f ca="1">IFERROR(__xludf.DUMMYFUNCTION("IMPORTRANGE(""https://docs.google.com/spreadsheets/d/13wPX838HrBrQMCywv1BsuMkt4PEKTChp52zj44s2izQ/edit?usp=sharing"",""กาญจนบุรี!N98"")+IMPORTRANGE(""https://docs.google.com/spreadsheets/d/1ddFKvqj1W1NEiWytbGlB1zMx_ykJDVtmfEQ-6-lIUBA/edit?usp=sharing"","""&amp;"จันทบุรี!N98"")+IMPORTRANGE(""https://docs.google.com/spreadsheets/d/1T1PQvRODqOBZk8BRht_U031fIS1beLA0Ub2CEytj2q0/edit?usp=sharing"",""ฉะเชิงเทรา!N98"")+IMPORTRANGE(""https://docs.google.com/spreadsheets/d/11tr1B-Bhyr79v2bkwVh5h_fR-PStkgjlZtkrZpYurG0/edit"&amp;"?usp=sharing"",""ชลบุรี!N98"")+IMPORTRANGE(""https://docs.google.com/spreadsheets/d/1hh-FVnSX0vozXhGluamEcS54Dw9_zqW0N7qJUWgJ0Sw/edit?usp=sharing"",""ชัยนาท!N98"")+IMPORTRANGE(""https://docs.google.com/spreadsheets/d/1jkqa6GXxSacMcY1eN8AHjMNJ_7dDXMJVRLDla"&amp;"FSOdPM/edit?usp=sharing"",""ตราด!N98"")+IMPORTRANGE(""https://docs.google.com/spreadsheets/d/18hSgUJ3VwClqi_qtULmmW3cLr0oe3OKaSYoKzdpTsYQ/edit?usp=sharing"",""นครนายก!N98"")+IMPORTRANGE(""https://docs.google.com/spreadsheets/d/1YTZo6WM2dQ6Ix6FSdnL5P7uVnVK"&amp;"u40sxZu975tgG10E/edit?usp=sharing"",""นครปฐม!N98"")+IMPORTRANGE(""https://docs.google.com/spreadsheets/d/1OYoGg4WDg5RIzwGeB10padOxJF9E_Vljuvvct_M7RDo/edit?usp=sharing"",""ปทุมธานี!N98"")+IMPORTRANGE(""https://docs.google.com/spreadsheets/d/1GbCIE4D4wk9FUo"&amp;"zzqk7SxfDMxDVBwVmI5zcaVUSzKAc/edit?usp=sharing"",""ประจวบคีรีขันธ์!N98"")+IMPORTRANGE(""https://docs.google.com/spreadsheets/d/1vVf6wykvW_lAyu7Yo9L4hUTqHqIeP_qcVuxCtosJEbg/edit?usp=sharing"",""ปราจีนบุรี!N98"")+IMPORTRANGE(""https://docs.google.com/spread"&amp;"sheets/d/1BIDqLLg5jk3v59G8NlR8rk5xfQDKne0sAvZHSj7TI6I/edit?usp=sharing"",""พระนครศรีอยุธยา!N98"")+IMPORTRANGE(""https://docs.google.com/spreadsheets/d/1YXvxf8Yu6_rV4hTBrwMqAcAnv6DfhUxh5emyM3CJp_w/edit?usp=sharing"",""เพชรบุรี!N98"")+IMPORTRANGE(""https://"&amp;"docs.google.com/spreadsheets/d/19KBlQQs7uwvsao6t2n-KvW3Ax8J8uRRfZPq1zPbXgKc/edit?usp=sharing"",""ระยอง!N98"")+IMPORTRANGE(""https://docs.google.com/spreadsheets/d/1jQ6P4QcrGM89YfqcC_PxOHGCMq5ezhucwJd8ci-NHng/edit?usp=sharing"",""ราชบุรี!N98"")+IMPORTRANGE"&amp;"(""https://docs.google.com/spreadsheets/d/1lufeA2cfFqM-elVq2hznhDzC6Pr7wkJ9ZG_sYNGCMCU/edit?usp=sharing"",""ลพบุรี!N98"")+IMPORTRANGE(""https://docs.google.com/spreadsheets/d/10oOiF7loTyfsTkbd4MpaIm0HQ9SwB7IYHdIUvt-U1Uc/edit?usp=sharing"",""สระแก้ว!N98"")"&amp;"+IMPORTRANGE(""https://docs.google.com/spreadsheets/d/1xmPlrr1QbdSIKvl1dWUl9K4PjAfSL9oeMr_37QVzcxc/edit?usp=sharing"",""สระบุรี!N98"")+IMPORTRANGE(""https://docs.google.com/spreadsheets/d/1j51vR6CYVGhABJpv6tkstgok82RLpXieLzW1yOY5rHw/edit?usp=sharing"",""ส"&amp;"ิงห์บุรี!N98"")+IMPORTRANGE(""https://docs.google.com/spreadsheets/d/1H1EalTWKUSzO4Z1-1CwzoDUaVffgrThEBe2sl74kKG0/edit?usp=sharing"",""สุพรรณบุรี!N98"")+IMPORTRANGE(""https://docs.google.com/spreadsheets/d/1BmIruG_sIrJLYao_Pdr7zVArWsfoBt2692TMi6x_854/edit"&amp;"?usp=sharing"",""อ่างทอง!N98"")"),0)</f>
        <v>0</v>
      </c>
      <c r="O98" s="59">
        <f t="shared" ca="1" si="47"/>
        <v>0</v>
      </c>
      <c r="P98" s="59">
        <f t="shared" ca="1" si="48"/>
        <v>0</v>
      </c>
    </row>
    <row r="99" spans="1:16" ht="18.75" x14ac:dyDescent="0.25">
      <c r="A99" s="157"/>
      <c r="B99" s="53"/>
      <c r="C99" s="53"/>
      <c r="D99" s="53"/>
      <c r="E99" s="60" t="s">
        <v>35</v>
      </c>
      <c r="F99" s="53"/>
      <c r="G99" s="55"/>
      <c r="H99" s="163" t="s">
        <v>12</v>
      </c>
      <c r="I99" s="164"/>
      <c r="J99" s="164"/>
      <c r="K99" s="165"/>
      <c r="L99" s="59">
        <f ca="1">IFERROR(__xludf.DUMMYFUNCTION("IMPORTRANGE(""https://docs.google.com/spreadsheets/d/13wPX838HrBrQMCywv1BsuMkt4PEKTChp52zj44s2izQ/edit?usp=sharing"",""กาญจนบุรี!L99"")+IMPORTRANGE(""https://docs.google.com/spreadsheets/d/1ddFKvqj1W1NEiWytbGlB1zMx_ykJDVtmfEQ-6-lIUBA/edit?usp=sharing"","""&amp;"จันทบุรี!L99"")+IMPORTRANGE(""https://docs.google.com/spreadsheets/d/1T1PQvRODqOBZk8BRht_U031fIS1beLA0Ub2CEytj2q0/edit?usp=sharing"",""ฉะเชิงเทรา!L99"")+IMPORTRANGE(""https://docs.google.com/spreadsheets/d/11tr1B-Bhyr79v2bkwVh5h_fR-PStkgjlZtkrZpYurG0/edit"&amp;"?usp=sharing"",""ชลบุรี!L99"")+IMPORTRANGE(""https://docs.google.com/spreadsheets/d/1hh-FVnSX0vozXhGluamEcS54Dw9_zqW0N7qJUWgJ0Sw/edit?usp=sharing"",""ชัยนาท!L99"")+IMPORTRANGE(""https://docs.google.com/spreadsheets/d/1jkqa6GXxSacMcY1eN8AHjMNJ_7dDXMJVRLDla"&amp;"FSOdPM/edit?usp=sharing"",""ตราด!L99"")+IMPORTRANGE(""https://docs.google.com/spreadsheets/d/18hSgUJ3VwClqi_qtULmmW3cLr0oe3OKaSYoKzdpTsYQ/edit?usp=sharing"",""นครนายก!L99"")+IMPORTRANGE(""https://docs.google.com/spreadsheets/d/1YTZo6WM2dQ6Ix6FSdnL5P7uVnVK"&amp;"u40sxZu975tgG10E/edit?usp=sharing"",""นครปฐม!L99"")+IMPORTRANGE(""https://docs.google.com/spreadsheets/d/1OYoGg4WDg5RIzwGeB10padOxJF9E_Vljuvvct_M7RDo/edit?usp=sharing"",""ปทุมธานี!L99"")+IMPORTRANGE(""https://docs.google.com/spreadsheets/d/1GbCIE4D4wk9FUo"&amp;"zzqk7SxfDMxDVBwVmI5zcaVUSzKAc/edit?usp=sharing"",""ประจวบคีรีขันธ์!L99"")+IMPORTRANGE(""https://docs.google.com/spreadsheets/d/1vVf6wykvW_lAyu7Yo9L4hUTqHqIeP_qcVuxCtosJEbg/edit?usp=sharing"",""ปราจีนบุรี!L99"")+IMPORTRANGE(""https://docs.google.com/spread"&amp;"sheets/d/1BIDqLLg5jk3v59G8NlR8rk5xfQDKne0sAvZHSj7TI6I/edit?usp=sharing"",""พระนครศรีอยุธยา!L99"")+IMPORTRANGE(""https://docs.google.com/spreadsheets/d/1YXvxf8Yu6_rV4hTBrwMqAcAnv6DfhUxh5emyM3CJp_w/edit?usp=sharing"",""เพชรบุรี!L99"")+IMPORTRANGE(""https://"&amp;"docs.google.com/spreadsheets/d/19KBlQQs7uwvsao6t2n-KvW3Ax8J8uRRfZPq1zPbXgKc/edit?usp=sharing"",""ระยอง!L99"")+IMPORTRANGE(""https://docs.google.com/spreadsheets/d/1jQ6P4QcrGM89YfqcC_PxOHGCMq5ezhucwJd8ci-NHng/edit?usp=sharing"",""ราชบุรี!L99"")+IMPORTRANGE"&amp;"(""https://docs.google.com/spreadsheets/d/1lufeA2cfFqM-elVq2hznhDzC6Pr7wkJ9ZG_sYNGCMCU/edit?usp=sharing"",""ลพบุรี!L99"")+IMPORTRANGE(""https://docs.google.com/spreadsheets/d/10oOiF7loTyfsTkbd4MpaIm0HQ9SwB7IYHdIUvt-U1Uc/edit?usp=sharing"",""สระแก้ว!L99"")"&amp;"+IMPORTRANGE(""https://docs.google.com/spreadsheets/d/1xmPlrr1QbdSIKvl1dWUl9K4PjAfSL9oeMr_37QVzcxc/edit?usp=sharing"",""สระบุรี!L99"")+IMPORTRANGE(""https://docs.google.com/spreadsheets/d/1j51vR6CYVGhABJpv6tkstgok82RLpXieLzW1yOY5rHw/edit?usp=sharing"",""ส"&amp;"ิงห์บุรี!L99"")+IMPORTRANGE(""https://docs.google.com/spreadsheets/d/1H1EalTWKUSzO4Z1-1CwzoDUaVffgrThEBe2sl74kKG0/edit?usp=sharing"",""สุพรรณบุรี!L99"")+IMPORTRANGE(""https://docs.google.com/spreadsheets/d/1BmIruG_sIrJLYao_Pdr7zVArWsfoBt2692TMi6x_854/edit"&amp;"?usp=sharing"",""อ่างทอง!L99"")"),205600)</f>
        <v>205600</v>
      </c>
      <c r="M99" s="59">
        <f ca="1">IFERROR(__xludf.DUMMYFUNCTION("IMPORTRANGE(""https://docs.google.com/spreadsheets/d/13wPX838HrBrQMCywv1BsuMkt4PEKTChp52zj44s2izQ/edit?usp=sharing"",""กาญจนบุรี!M99"")+IMPORTRANGE(""https://docs.google.com/spreadsheets/d/1ddFKvqj1W1NEiWytbGlB1zMx_ykJDVtmfEQ-6-lIUBA/edit?usp=sharing"","""&amp;"จันทบุรี!M99"")+IMPORTRANGE(""https://docs.google.com/spreadsheets/d/1T1PQvRODqOBZk8BRht_U031fIS1beLA0Ub2CEytj2q0/edit?usp=sharing"",""ฉะเชิงเทรา!M99"")+IMPORTRANGE(""https://docs.google.com/spreadsheets/d/11tr1B-Bhyr79v2bkwVh5h_fR-PStkgjlZtkrZpYurG0/edit"&amp;"?usp=sharing"",""ชลบุรี!M99"")+IMPORTRANGE(""https://docs.google.com/spreadsheets/d/1hh-FVnSX0vozXhGluamEcS54Dw9_zqW0N7qJUWgJ0Sw/edit?usp=sharing"",""ชัยนาท!M99"")+IMPORTRANGE(""https://docs.google.com/spreadsheets/d/1jkqa6GXxSacMcY1eN8AHjMNJ_7dDXMJVRLDla"&amp;"FSOdPM/edit?usp=sharing"",""ตราด!M99"")+IMPORTRANGE(""https://docs.google.com/spreadsheets/d/18hSgUJ3VwClqi_qtULmmW3cLr0oe3OKaSYoKzdpTsYQ/edit?usp=sharing"",""นครนายก!M99"")+IMPORTRANGE(""https://docs.google.com/spreadsheets/d/1YTZo6WM2dQ6Ix6FSdnL5P7uVnVK"&amp;"u40sxZu975tgG10E/edit?usp=sharing"",""นครปฐม!M99"")+IMPORTRANGE(""https://docs.google.com/spreadsheets/d/1OYoGg4WDg5RIzwGeB10padOxJF9E_Vljuvvct_M7RDo/edit?usp=sharing"",""ปทุมธานี!M99"")+IMPORTRANGE(""https://docs.google.com/spreadsheets/d/1GbCIE4D4wk9FUo"&amp;"zzqk7SxfDMxDVBwVmI5zcaVUSzKAc/edit?usp=sharing"",""ประจวบคีรีขันธ์!M99"")+IMPORTRANGE(""https://docs.google.com/spreadsheets/d/1vVf6wykvW_lAyu7Yo9L4hUTqHqIeP_qcVuxCtosJEbg/edit?usp=sharing"",""ปราจีนบุรี!M99"")+IMPORTRANGE(""https://docs.google.com/spread"&amp;"sheets/d/1BIDqLLg5jk3v59G8NlR8rk5xfQDKne0sAvZHSj7TI6I/edit?usp=sharing"",""พระนครศรีอยุธยา!M99"")+IMPORTRANGE(""https://docs.google.com/spreadsheets/d/1YXvxf8Yu6_rV4hTBrwMqAcAnv6DfhUxh5emyM3CJp_w/edit?usp=sharing"",""เพชรบุรี!M99"")+IMPORTRANGE(""https://"&amp;"docs.google.com/spreadsheets/d/19KBlQQs7uwvsao6t2n-KvW3Ax8J8uRRfZPq1zPbXgKc/edit?usp=sharing"",""ระยอง!M99"")+IMPORTRANGE(""https://docs.google.com/spreadsheets/d/1jQ6P4QcrGM89YfqcC_PxOHGCMq5ezhucwJd8ci-NHng/edit?usp=sharing"",""ราชบุรี!M99"")+IMPORTRANGE"&amp;"(""https://docs.google.com/spreadsheets/d/1lufeA2cfFqM-elVq2hznhDzC6Pr7wkJ9ZG_sYNGCMCU/edit?usp=sharing"",""ลพบุรี!M99"")+IMPORTRANGE(""https://docs.google.com/spreadsheets/d/10oOiF7loTyfsTkbd4MpaIm0HQ9SwB7IYHdIUvt-U1Uc/edit?usp=sharing"",""สระแก้ว!M99"")"&amp;"+IMPORTRANGE(""https://docs.google.com/spreadsheets/d/1xmPlrr1QbdSIKvl1dWUl9K4PjAfSL9oeMr_37QVzcxc/edit?usp=sharing"",""สระบุรี!M99"")+IMPORTRANGE(""https://docs.google.com/spreadsheets/d/1j51vR6CYVGhABJpv6tkstgok82RLpXieLzW1yOY5rHw/edit?usp=sharing"",""ส"&amp;"ิงห์บุรี!M99"")+IMPORTRANGE(""https://docs.google.com/spreadsheets/d/1H1EalTWKUSzO4Z1-1CwzoDUaVffgrThEBe2sl74kKG0/edit?usp=sharing"",""สุพรรณบุรี!M99"")+IMPORTRANGE(""https://docs.google.com/spreadsheets/d/1BmIruG_sIrJLYao_Pdr7zVArWsfoBt2692TMi6x_854/edit"&amp;"?usp=sharing"",""อ่างทอง!M99"")"),183900)</f>
        <v>183900</v>
      </c>
      <c r="N99" s="59">
        <f ca="1">IFERROR(__xludf.DUMMYFUNCTION("IMPORTRANGE(""https://docs.google.com/spreadsheets/d/13wPX838HrBrQMCywv1BsuMkt4PEKTChp52zj44s2izQ/edit?usp=sharing"",""กาญจนบุรี!N99"")+IMPORTRANGE(""https://docs.google.com/spreadsheets/d/1ddFKvqj1W1NEiWytbGlB1zMx_ykJDVtmfEQ-6-lIUBA/edit?usp=sharing"","""&amp;"จันทบุรี!N99"")+IMPORTRANGE(""https://docs.google.com/spreadsheets/d/1T1PQvRODqOBZk8BRht_U031fIS1beLA0Ub2CEytj2q0/edit?usp=sharing"",""ฉะเชิงเทรา!N99"")+IMPORTRANGE(""https://docs.google.com/spreadsheets/d/11tr1B-Bhyr79v2bkwVh5h_fR-PStkgjlZtkrZpYurG0/edit"&amp;"?usp=sharing"",""ชลบุรี!N99"")+IMPORTRANGE(""https://docs.google.com/spreadsheets/d/1hh-FVnSX0vozXhGluamEcS54Dw9_zqW0N7qJUWgJ0Sw/edit?usp=sharing"",""ชัยนาท!N99"")+IMPORTRANGE(""https://docs.google.com/spreadsheets/d/1jkqa6GXxSacMcY1eN8AHjMNJ_7dDXMJVRLDla"&amp;"FSOdPM/edit?usp=sharing"",""ตราด!N99"")+IMPORTRANGE(""https://docs.google.com/spreadsheets/d/18hSgUJ3VwClqi_qtULmmW3cLr0oe3OKaSYoKzdpTsYQ/edit?usp=sharing"",""นครนายก!N99"")+IMPORTRANGE(""https://docs.google.com/spreadsheets/d/1YTZo6WM2dQ6Ix6FSdnL5P7uVnVK"&amp;"u40sxZu975tgG10E/edit?usp=sharing"",""นครปฐม!N99"")+IMPORTRANGE(""https://docs.google.com/spreadsheets/d/1OYoGg4WDg5RIzwGeB10padOxJF9E_Vljuvvct_M7RDo/edit?usp=sharing"",""ปทุมธานี!N99"")+IMPORTRANGE(""https://docs.google.com/spreadsheets/d/1GbCIE4D4wk9FUo"&amp;"zzqk7SxfDMxDVBwVmI5zcaVUSzKAc/edit?usp=sharing"",""ประจวบคีรีขันธ์!N99"")+IMPORTRANGE(""https://docs.google.com/spreadsheets/d/1vVf6wykvW_lAyu7Yo9L4hUTqHqIeP_qcVuxCtosJEbg/edit?usp=sharing"",""ปราจีนบุรี!N99"")+IMPORTRANGE(""https://docs.google.com/spread"&amp;"sheets/d/1BIDqLLg5jk3v59G8NlR8rk5xfQDKne0sAvZHSj7TI6I/edit?usp=sharing"",""พระนครศรีอยุธยา!N99"")+IMPORTRANGE(""https://docs.google.com/spreadsheets/d/1YXvxf8Yu6_rV4hTBrwMqAcAnv6DfhUxh5emyM3CJp_w/edit?usp=sharing"",""เพชรบุรี!N99"")+IMPORTRANGE(""https://"&amp;"docs.google.com/spreadsheets/d/19KBlQQs7uwvsao6t2n-KvW3Ax8J8uRRfZPq1zPbXgKc/edit?usp=sharing"",""ระยอง!N99"")+IMPORTRANGE(""https://docs.google.com/spreadsheets/d/1jQ6P4QcrGM89YfqcC_PxOHGCMq5ezhucwJd8ci-NHng/edit?usp=sharing"",""ราชบุรี!N99"")+IMPORTRANGE"&amp;"(""https://docs.google.com/spreadsheets/d/1lufeA2cfFqM-elVq2hznhDzC6Pr7wkJ9ZG_sYNGCMCU/edit?usp=sharing"",""ลพบุรี!N99"")+IMPORTRANGE(""https://docs.google.com/spreadsheets/d/10oOiF7loTyfsTkbd4MpaIm0HQ9SwB7IYHdIUvt-U1Uc/edit?usp=sharing"",""สระแก้ว!N99"")"&amp;"+IMPORTRANGE(""https://docs.google.com/spreadsheets/d/1xmPlrr1QbdSIKvl1dWUl9K4PjAfSL9oeMr_37QVzcxc/edit?usp=sharing"",""สระบุรี!N99"")+IMPORTRANGE(""https://docs.google.com/spreadsheets/d/1j51vR6CYVGhABJpv6tkstgok82RLpXieLzW1yOY5rHw/edit?usp=sharing"",""ส"&amp;"ิงห์บุรี!N99"")+IMPORTRANGE(""https://docs.google.com/spreadsheets/d/1H1EalTWKUSzO4Z1-1CwzoDUaVffgrThEBe2sl74kKG0/edit?usp=sharing"",""สุพรรณบุรี!N99"")+IMPORTRANGE(""https://docs.google.com/spreadsheets/d/1BmIruG_sIrJLYao_Pdr7zVArWsfoBt2692TMi6x_854/edit"&amp;"?usp=sharing"",""อ่างทอง!N99"")"),108464)</f>
        <v>108464</v>
      </c>
      <c r="O99" s="59">
        <f t="shared" ca="1" si="47"/>
        <v>52.754863813229569</v>
      </c>
      <c r="P99" s="59">
        <f t="shared" ca="1" si="48"/>
        <v>58.979880369766178</v>
      </c>
    </row>
    <row r="100" spans="1:16" ht="18.75" x14ac:dyDescent="0.25">
      <c r="A100" s="157"/>
      <c r="B100" s="53"/>
      <c r="C100" s="53"/>
      <c r="D100" s="54" t="s">
        <v>21</v>
      </c>
      <c r="E100" s="53"/>
      <c r="F100" s="53"/>
      <c r="G100" s="55"/>
      <c r="H100" s="166" t="s">
        <v>12</v>
      </c>
      <c r="I100" s="164"/>
      <c r="J100" s="164"/>
      <c r="K100" s="165"/>
      <c r="L100" s="59">
        <f t="shared" ref="L100:N100" ca="1" si="52">L101+L102</f>
        <v>0</v>
      </c>
      <c r="M100" s="59">
        <f t="shared" ca="1" si="52"/>
        <v>0</v>
      </c>
      <c r="N100" s="59">
        <f t="shared" ca="1" si="52"/>
        <v>0</v>
      </c>
      <c r="O100" s="59">
        <f t="shared" ca="1" si="47"/>
        <v>0</v>
      </c>
      <c r="P100" s="59">
        <f t="shared" ca="1" si="48"/>
        <v>0</v>
      </c>
    </row>
    <row r="101" spans="1:16" ht="18.75" x14ac:dyDescent="0.25">
      <c r="A101" s="157"/>
      <c r="B101" s="53"/>
      <c r="C101" s="53"/>
      <c r="D101" s="53"/>
      <c r="E101" s="60" t="s">
        <v>18</v>
      </c>
      <c r="F101" s="53"/>
      <c r="G101" s="55"/>
      <c r="H101" s="163" t="s">
        <v>12</v>
      </c>
      <c r="I101" s="164"/>
      <c r="J101" s="164"/>
      <c r="K101" s="165"/>
      <c r="L101" s="59">
        <f ca="1">IFERROR(__xludf.DUMMYFUNCTION("IMPORTRANGE(""https://docs.google.com/spreadsheets/d/13wPX838HrBrQMCywv1BsuMkt4PEKTChp52zj44s2izQ/edit?usp=sharing"",""กาญจนบุรี!L101"")+IMPORTRANGE(""https://docs.google.com/spreadsheets/d/1ddFKvqj1W1NEiWytbGlB1zMx_ykJDVtmfEQ-6-lIUBA/edit?usp=sharing"","&amp;"""จันทบุรี!L101"")+IMPORTRANGE(""https://docs.google.com/spreadsheets/d/1T1PQvRODqOBZk8BRht_U031fIS1beLA0Ub2CEytj2q0/edit?usp=sharing"",""ฉะเชิงเทรา!L101"")+IMPORTRANGE(""https://docs.google.com/spreadsheets/d/11tr1B-Bhyr79v2bkwVh5h_fR-PStkgjlZtkrZpYurG0/"&amp;"edit?usp=sharing"",""ชลบุรี!L101"")+IMPORTRANGE(""https://docs.google.com/spreadsheets/d/1hh-FVnSX0vozXhGluamEcS54Dw9_zqW0N7qJUWgJ0Sw/edit?usp=sharing"",""ชัยนาท!L101"")+IMPORTRANGE(""https://docs.google.com/spreadsheets/d/1jkqa6GXxSacMcY1eN8AHjMNJ_7dDXMJ"&amp;"VRLDlaFSOdPM/edit?usp=sharing"",""ตราด!L101"")+IMPORTRANGE(""https://docs.google.com/spreadsheets/d/18hSgUJ3VwClqi_qtULmmW3cLr0oe3OKaSYoKzdpTsYQ/edit?usp=sharing"",""นครนายก!L101"")+IMPORTRANGE(""https://docs.google.com/spreadsheets/d/1YTZo6WM2dQ6Ix6FSdnL"&amp;"5P7uVnVKu40sxZu975tgG10E/edit?usp=sharing"",""นครปฐม!L101"")+IMPORTRANGE(""https://docs.google.com/spreadsheets/d/1OYoGg4WDg5RIzwGeB10padOxJF9E_Vljuvvct_M7RDo/edit?usp=sharing"",""ปทุมธานี!L101"")+IMPORTRANGE(""https://docs.google.com/spreadsheets/d/1GbCI"&amp;"E4D4wk9FUozzqk7SxfDMxDVBwVmI5zcaVUSzKAc/edit?usp=sharing"",""ประจวบคีรีขันธ์!L101"")+IMPORTRANGE(""https://docs.google.com/spreadsheets/d/1vVf6wykvW_lAyu7Yo9L4hUTqHqIeP_qcVuxCtosJEbg/edit?usp=sharing"",""ปราจีนบุรี!L101"")+IMPORTRANGE(""https://docs.googl"&amp;"e.com/spreadsheets/d/1BIDqLLg5jk3v59G8NlR8rk5xfQDKne0sAvZHSj7TI6I/edit?usp=sharing"",""พระนครศรีอยุธยา!L101"")+IMPORTRANGE(""https://docs.google.com/spreadsheets/d/1YXvxf8Yu6_rV4hTBrwMqAcAnv6DfhUxh5emyM3CJp_w/edit?usp=sharing"",""เพชรบุรี!L101"")+IMPORTRA"&amp;"NGE(""https://docs.google.com/spreadsheets/d/19KBlQQs7uwvsao6t2n-KvW3Ax8J8uRRfZPq1zPbXgKc/edit?usp=sharing"",""ระยอง!L101"")+IMPORTRANGE(""https://docs.google.com/spreadsheets/d/1jQ6P4QcrGM89YfqcC_PxOHGCMq5ezhucwJd8ci-NHng/edit?usp=sharing"",""ราชบุรี!L10"&amp;"1"")+IMPORTRANGE(""https://docs.google.com/spreadsheets/d/1lufeA2cfFqM-elVq2hznhDzC6Pr7wkJ9ZG_sYNGCMCU/edit?usp=sharing"",""ลพบุรี!L101"")+IMPORTRANGE(""https://docs.google.com/spreadsheets/d/10oOiF7loTyfsTkbd4MpaIm0HQ9SwB7IYHdIUvt-U1Uc/edit?usp=sharing"""&amp;",""สระแก้ว!L101"")+IMPORTRANGE(""https://docs.google.com/spreadsheets/d/1xmPlrr1QbdSIKvl1dWUl9K4PjAfSL9oeMr_37QVzcxc/edit?usp=sharing"",""สระบุรี!L101"")+IMPORTRANGE(""https://docs.google.com/spreadsheets/d/1j51vR6CYVGhABJpv6tkstgok82RLpXieLzW1yOY5rHw/edi"&amp;"t?usp=sharing"",""สิงห์บุรี!L101"")+IMPORTRANGE(""https://docs.google.com/spreadsheets/d/1H1EalTWKUSzO4Z1-1CwzoDUaVffgrThEBe2sl74kKG0/edit?usp=sharing"",""สุพรรณบุรี!L101"")+IMPORTRANGE(""https://docs.google.com/spreadsheets/d/1BmIruG_sIrJLYao_Pdr7zVArWsf"&amp;"oBt2692TMi6x_854/edit?usp=sharing"",""อ่างทอง!L101"")"),0)</f>
        <v>0</v>
      </c>
      <c r="M101" s="59">
        <f ca="1">IFERROR(__xludf.DUMMYFUNCTION("IMPORTRANGE(""https://docs.google.com/spreadsheets/d/13wPX838HrBrQMCywv1BsuMkt4PEKTChp52zj44s2izQ/edit?usp=sharing"",""กาญจนบุรี!M101"")+IMPORTRANGE(""https://docs.google.com/spreadsheets/d/1ddFKvqj1W1NEiWytbGlB1zMx_ykJDVtmfEQ-6-lIUBA/edit?usp=sharing"","&amp;"""จันทบุรี!M101"")+IMPORTRANGE(""https://docs.google.com/spreadsheets/d/1T1PQvRODqOBZk8BRht_U031fIS1beLA0Ub2CEytj2q0/edit?usp=sharing"",""ฉะเชิงเทรา!M101"")+IMPORTRANGE(""https://docs.google.com/spreadsheets/d/11tr1B-Bhyr79v2bkwVh5h_fR-PStkgjlZtkrZpYurG0/"&amp;"edit?usp=sharing"",""ชลบุรี!M101"")+IMPORTRANGE(""https://docs.google.com/spreadsheets/d/1hh-FVnSX0vozXhGluamEcS54Dw9_zqW0N7qJUWgJ0Sw/edit?usp=sharing"",""ชัยนาท!M101"")+IMPORTRANGE(""https://docs.google.com/spreadsheets/d/1jkqa6GXxSacMcY1eN8AHjMNJ_7dDXMJ"&amp;"VRLDlaFSOdPM/edit?usp=sharing"",""ตราด!M101"")+IMPORTRANGE(""https://docs.google.com/spreadsheets/d/18hSgUJ3VwClqi_qtULmmW3cLr0oe3OKaSYoKzdpTsYQ/edit?usp=sharing"",""นครนายก!M101"")+IMPORTRANGE(""https://docs.google.com/spreadsheets/d/1YTZo6WM2dQ6Ix6FSdnL"&amp;"5P7uVnVKu40sxZu975tgG10E/edit?usp=sharing"",""นครปฐม!M101"")+IMPORTRANGE(""https://docs.google.com/spreadsheets/d/1OYoGg4WDg5RIzwGeB10padOxJF9E_Vljuvvct_M7RDo/edit?usp=sharing"",""ปทุมธานี!M101"")+IMPORTRANGE(""https://docs.google.com/spreadsheets/d/1GbCI"&amp;"E4D4wk9FUozzqk7SxfDMxDVBwVmI5zcaVUSzKAc/edit?usp=sharing"",""ประจวบคีรีขันธ์!M101"")+IMPORTRANGE(""https://docs.google.com/spreadsheets/d/1vVf6wykvW_lAyu7Yo9L4hUTqHqIeP_qcVuxCtosJEbg/edit?usp=sharing"",""ปราจีนบุรี!M101"")+IMPORTRANGE(""https://docs.googl"&amp;"e.com/spreadsheets/d/1BIDqLLg5jk3v59G8NlR8rk5xfQDKne0sAvZHSj7TI6I/edit?usp=sharing"",""พระนครศรีอยุธยา!M101"")+IMPORTRANGE(""https://docs.google.com/spreadsheets/d/1YXvxf8Yu6_rV4hTBrwMqAcAnv6DfhUxh5emyM3CJp_w/edit?usp=sharing"",""เพชรบุรี!M101"")+IMPORTRA"&amp;"NGE(""https://docs.google.com/spreadsheets/d/19KBlQQs7uwvsao6t2n-KvW3Ax8J8uRRfZPq1zPbXgKc/edit?usp=sharing"",""ระยอง!M101"")+IMPORTRANGE(""https://docs.google.com/spreadsheets/d/1jQ6P4QcrGM89YfqcC_PxOHGCMq5ezhucwJd8ci-NHng/edit?usp=sharing"",""ราชบุรี!M10"&amp;"1"")+IMPORTRANGE(""https://docs.google.com/spreadsheets/d/1lufeA2cfFqM-elVq2hznhDzC6Pr7wkJ9ZG_sYNGCMCU/edit?usp=sharing"",""ลพบุรี!M101"")+IMPORTRANGE(""https://docs.google.com/spreadsheets/d/10oOiF7loTyfsTkbd4MpaIm0HQ9SwB7IYHdIUvt-U1Uc/edit?usp=sharing"""&amp;",""สระแก้ว!M101"")+IMPORTRANGE(""https://docs.google.com/spreadsheets/d/1xmPlrr1QbdSIKvl1dWUl9K4PjAfSL9oeMr_37QVzcxc/edit?usp=sharing"",""สระบุรี!M101"")+IMPORTRANGE(""https://docs.google.com/spreadsheets/d/1j51vR6CYVGhABJpv6tkstgok82RLpXieLzW1yOY5rHw/edi"&amp;"t?usp=sharing"",""สิงห์บุรี!M101"")+IMPORTRANGE(""https://docs.google.com/spreadsheets/d/1H1EalTWKUSzO4Z1-1CwzoDUaVffgrThEBe2sl74kKG0/edit?usp=sharing"",""สุพรรณบุรี!M101"")+IMPORTRANGE(""https://docs.google.com/spreadsheets/d/1BmIruG_sIrJLYao_Pdr7zVArWsf"&amp;"oBt2692TMi6x_854/edit?usp=sharing"",""อ่างทอง!M101"")"),0)</f>
        <v>0</v>
      </c>
      <c r="N101" s="59">
        <f ca="1">IFERROR(__xludf.DUMMYFUNCTION("IMPORTRANGE(""https://docs.google.com/spreadsheets/d/13wPX838HrBrQMCywv1BsuMkt4PEKTChp52zj44s2izQ/edit?usp=sharing"",""กาญจนบุรี!N101"")+IMPORTRANGE(""https://docs.google.com/spreadsheets/d/1ddFKvqj1W1NEiWytbGlB1zMx_ykJDVtmfEQ-6-lIUBA/edit?usp=sharing"","&amp;"""จันทบุรี!N101"")+IMPORTRANGE(""https://docs.google.com/spreadsheets/d/1T1PQvRODqOBZk8BRht_U031fIS1beLA0Ub2CEytj2q0/edit?usp=sharing"",""ฉะเชิงเทรา!N101"")+IMPORTRANGE(""https://docs.google.com/spreadsheets/d/11tr1B-Bhyr79v2bkwVh5h_fR-PStkgjlZtkrZpYurG0/"&amp;"edit?usp=sharing"",""ชลบุรี!N101"")+IMPORTRANGE(""https://docs.google.com/spreadsheets/d/1hh-FVnSX0vozXhGluamEcS54Dw9_zqW0N7qJUWgJ0Sw/edit?usp=sharing"",""ชัยนาท!N101"")+IMPORTRANGE(""https://docs.google.com/spreadsheets/d/1jkqa6GXxSacMcY1eN8AHjMNJ_7dDXMJ"&amp;"VRLDlaFSOdPM/edit?usp=sharing"",""ตราด!N101"")+IMPORTRANGE(""https://docs.google.com/spreadsheets/d/18hSgUJ3VwClqi_qtULmmW3cLr0oe3OKaSYoKzdpTsYQ/edit?usp=sharing"",""นครนายก!N101"")+IMPORTRANGE(""https://docs.google.com/spreadsheets/d/1YTZo6WM2dQ6Ix6FSdnL"&amp;"5P7uVnVKu40sxZu975tgG10E/edit?usp=sharing"",""นครปฐม!N101"")+IMPORTRANGE(""https://docs.google.com/spreadsheets/d/1OYoGg4WDg5RIzwGeB10padOxJF9E_Vljuvvct_M7RDo/edit?usp=sharing"",""ปทุมธานี!N101"")+IMPORTRANGE(""https://docs.google.com/spreadsheets/d/1GbCI"&amp;"E4D4wk9FUozzqk7SxfDMxDVBwVmI5zcaVUSzKAc/edit?usp=sharing"",""ประจวบคีรีขันธ์!N101"")+IMPORTRANGE(""https://docs.google.com/spreadsheets/d/1vVf6wykvW_lAyu7Yo9L4hUTqHqIeP_qcVuxCtosJEbg/edit?usp=sharing"",""ปราจีนบุรี!N101"")+IMPORTRANGE(""https://docs.googl"&amp;"e.com/spreadsheets/d/1BIDqLLg5jk3v59G8NlR8rk5xfQDKne0sAvZHSj7TI6I/edit?usp=sharing"",""พระนครศรีอยุธยา!N101"")+IMPORTRANGE(""https://docs.google.com/spreadsheets/d/1YXvxf8Yu6_rV4hTBrwMqAcAnv6DfhUxh5emyM3CJp_w/edit?usp=sharing"",""เพชรบุรี!N101"")+IMPORTRA"&amp;"NGE(""https://docs.google.com/spreadsheets/d/19KBlQQs7uwvsao6t2n-KvW3Ax8J8uRRfZPq1zPbXgKc/edit?usp=sharing"",""ระยอง!N101"")+IMPORTRANGE(""https://docs.google.com/spreadsheets/d/1jQ6P4QcrGM89YfqcC_PxOHGCMq5ezhucwJd8ci-NHng/edit?usp=sharing"",""ราชบุรี!N10"&amp;"1"")+IMPORTRANGE(""https://docs.google.com/spreadsheets/d/1lufeA2cfFqM-elVq2hznhDzC6Pr7wkJ9ZG_sYNGCMCU/edit?usp=sharing"",""ลพบุรี!N101"")+IMPORTRANGE(""https://docs.google.com/spreadsheets/d/10oOiF7loTyfsTkbd4MpaIm0HQ9SwB7IYHdIUvt-U1Uc/edit?usp=sharing"""&amp;",""สระแก้ว!N101"")+IMPORTRANGE(""https://docs.google.com/spreadsheets/d/1xmPlrr1QbdSIKvl1dWUl9K4PjAfSL9oeMr_37QVzcxc/edit?usp=sharing"",""สระบุรี!N101"")+IMPORTRANGE(""https://docs.google.com/spreadsheets/d/1j51vR6CYVGhABJpv6tkstgok82RLpXieLzW1yOY5rHw/edi"&amp;"t?usp=sharing"",""สิงห์บุรี!N101"")+IMPORTRANGE(""https://docs.google.com/spreadsheets/d/1H1EalTWKUSzO4Z1-1CwzoDUaVffgrThEBe2sl74kKG0/edit?usp=sharing"",""สุพรรณบุรี!N101"")+IMPORTRANGE(""https://docs.google.com/spreadsheets/d/1BmIruG_sIrJLYao_Pdr7zVArWsf"&amp;"oBt2692TMi6x_854/edit?usp=sharing"",""อ่างทอง!N101"")"),0)</f>
        <v>0</v>
      </c>
      <c r="O101" s="59">
        <f t="shared" ca="1" si="47"/>
        <v>0</v>
      </c>
      <c r="P101" s="59">
        <f t="shared" ca="1" si="48"/>
        <v>0</v>
      </c>
    </row>
    <row r="102" spans="1:16" ht="18.75" x14ac:dyDescent="0.25">
      <c r="A102" s="157"/>
      <c r="B102" s="53"/>
      <c r="C102" s="53"/>
      <c r="D102" s="53"/>
      <c r="E102" s="60" t="s">
        <v>19</v>
      </c>
      <c r="F102" s="53"/>
      <c r="G102" s="55"/>
      <c r="H102" s="166" t="s">
        <v>12</v>
      </c>
      <c r="I102" s="164"/>
      <c r="J102" s="164"/>
      <c r="K102" s="165"/>
      <c r="L102" s="59">
        <f ca="1">IFERROR(__xludf.DUMMYFUNCTION("IMPORTRANGE(""https://docs.google.com/spreadsheets/d/13wPX838HrBrQMCywv1BsuMkt4PEKTChp52zj44s2izQ/edit?usp=sharing"",""กาญจนบุรี!L102"")+IMPORTRANGE(""https://docs.google.com/spreadsheets/d/1ddFKvqj1W1NEiWytbGlB1zMx_ykJDVtmfEQ-6-lIUBA/edit?usp=sharing"","&amp;"""จันทบุรี!L102"")+IMPORTRANGE(""https://docs.google.com/spreadsheets/d/1T1PQvRODqOBZk8BRht_U031fIS1beLA0Ub2CEytj2q0/edit?usp=sharing"",""ฉะเชิงเทรา!L102"")+IMPORTRANGE(""https://docs.google.com/spreadsheets/d/11tr1B-Bhyr79v2bkwVh5h_fR-PStkgjlZtkrZpYurG0/"&amp;"edit?usp=sharing"",""ชลบุรี!L102"")+IMPORTRANGE(""https://docs.google.com/spreadsheets/d/1hh-FVnSX0vozXhGluamEcS54Dw9_zqW0N7qJUWgJ0Sw/edit?usp=sharing"",""ชัยนาท!L102"")+IMPORTRANGE(""https://docs.google.com/spreadsheets/d/1jkqa6GXxSacMcY1eN8AHjMNJ_7dDXMJ"&amp;"VRLDlaFSOdPM/edit?usp=sharing"",""ตราด!L102"")+IMPORTRANGE(""https://docs.google.com/spreadsheets/d/18hSgUJ3VwClqi_qtULmmW3cLr0oe3OKaSYoKzdpTsYQ/edit?usp=sharing"",""นครนายก!L102"")+IMPORTRANGE(""https://docs.google.com/spreadsheets/d/1YTZo6WM2dQ6Ix6FSdnL"&amp;"5P7uVnVKu40sxZu975tgG10E/edit?usp=sharing"",""นครปฐม!L102"")+IMPORTRANGE(""https://docs.google.com/spreadsheets/d/1OYoGg4WDg5RIzwGeB10padOxJF9E_Vljuvvct_M7RDo/edit?usp=sharing"",""ปทุมธานี!L102"")+IMPORTRANGE(""https://docs.google.com/spreadsheets/d/1GbCI"&amp;"E4D4wk9FUozzqk7SxfDMxDVBwVmI5zcaVUSzKAc/edit?usp=sharing"",""ประจวบคีรีขันธ์!L102"")+IMPORTRANGE(""https://docs.google.com/spreadsheets/d/1vVf6wykvW_lAyu7Yo9L4hUTqHqIeP_qcVuxCtosJEbg/edit?usp=sharing"",""ปราจีนบุรี!L102"")+IMPORTRANGE(""https://docs.googl"&amp;"e.com/spreadsheets/d/1BIDqLLg5jk3v59G8NlR8rk5xfQDKne0sAvZHSj7TI6I/edit?usp=sharing"",""พระนครศรีอยุธยา!L102"")+IMPORTRANGE(""https://docs.google.com/spreadsheets/d/1YXvxf8Yu6_rV4hTBrwMqAcAnv6DfhUxh5emyM3CJp_w/edit?usp=sharing"",""เพชรบุรี!L102"")+IMPORTRA"&amp;"NGE(""https://docs.google.com/spreadsheets/d/19KBlQQs7uwvsao6t2n-KvW3Ax8J8uRRfZPq1zPbXgKc/edit?usp=sharing"",""ระยอง!L102"")+IMPORTRANGE(""https://docs.google.com/spreadsheets/d/1jQ6P4QcrGM89YfqcC_PxOHGCMq5ezhucwJd8ci-NHng/edit?usp=sharing"",""ราชบุรี!L10"&amp;"2"")+IMPORTRANGE(""https://docs.google.com/spreadsheets/d/1lufeA2cfFqM-elVq2hznhDzC6Pr7wkJ9ZG_sYNGCMCU/edit?usp=sharing"",""ลพบุรี!L102"")+IMPORTRANGE(""https://docs.google.com/spreadsheets/d/10oOiF7loTyfsTkbd4MpaIm0HQ9SwB7IYHdIUvt-U1Uc/edit?usp=sharing"""&amp;",""สระแก้ว!L102"")+IMPORTRANGE(""https://docs.google.com/spreadsheets/d/1xmPlrr1QbdSIKvl1dWUl9K4PjAfSL9oeMr_37QVzcxc/edit?usp=sharing"",""สระบุรี!L102"")+IMPORTRANGE(""https://docs.google.com/spreadsheets/d/1j51vR6CYVGhABJpv6tkstgok82RLpXieLzW1yOY5rHw/edi"&amp;"t?usp=sharing"",""สิงห์บุรี!L102"")+IMPORTRANGE(""https://docs.google.com/spreadsheets/d/1H1EalTWKUSzO4Z1-1CwzoDUaVffgrThEBe2sl74kKG0/edit?usp=sharing"",""สุพรรณบุรี!L102"")+IMPORTRANGE(""https://docs.google.com/spreadsheets/d/1BmIruG_sIrJLYao_Pdr7zVArWsf"&amp;"oBt2692TMi6x_854/edit?usp=sharing"",""อ่างทอง!L102"")"),0)</f>
        <v>0</v>
      </c>
      <c r="M102" s="59">
        <f ca="1">IFERROR(__xludf.DUMMYFUNCTION("IMPORTRANGE(""https://docs.google.com/spreadsheets/d/13wPX838HrBrQMCywv1BsuMkt4PEKTChp52zj44s2izQ/edit?usp=sharing"",""กาญจนบุรี!M102"")+IMPORTRANGE(""https://docs.google.com/spreadsheets/d/1ddFKvqj1W1NEiWytbGlB1zMx_ykJDVtmfEQ-6-lIUBA/edit?usp=sharing"","&amp;"""จันทบุรี!M102"")+IMPORTRANGE(""https://docs.google.com/spreadsheets/d/1T1PQvRODqOBZk8BRht_U031fIS1beLA0Ub2CEytj2q0/edit?usp=sharing"",""ฉะเชิงเทรา!M102"")+IMPORTRANGE(""https://docs.google.com/spreadsheets/d/11tr1B-Bhyr79v2bkwVh5h_fR-PStkgjlZtkrZpYurG0/"&amp;"edit?usp=sharing"",""ชลบุรี!M102"")+IMPORTRANGE(""https://docs.google.com/spreadsheets/d/1hh-FVnSX0vozXhGluamEcS54Dw9_zqW0N7qJUWgJ0Sw/edit?usp=sharing"",""ชัยนาท!M102"")+IMPORTRANGE(""https://docs.google.com/spreadsheets/d/1jkqa6GXxSacMcY1eN8AHjMNJ_7dDXMJ"&amp;"VRLDlaFSOdPM/edit?usp=sharing"",""ตราด!M102"")+IMPORTRANGE(""https://docs.google.com/spreadsheets/d/18hSgUJ3VwClqi_qtULmmW3cLr0oe3OKaSYoKzdpTsYQ/edit?usp=sharing"",""นครนายก!M102"")+IMPORTRANGE(""https://docs.google.com/spreadsheets/d/1YTZo6WM2dQ6Ix6FSdnL"&amp;"5P7uVnVKu40sxZu975tgG10E/edit?usp=sharing"",""นครปฐม!M102"")+IMPORTRANGE(""https://docs.google.com/spreadsheets/d/1OYoGg4WDg5RIzwGeB10padOxJF9E_Vljuvvct_M7RDo/edit?usp=sharing"",""ปทุมธานี!M102"")+IMPORTRANGE(""https://docs.google.com/spreadsheets/d/1GbCI"&amp;"E4D4wk9FUozzqk7SxfDMxDVBwVmI5zcaVUSzKAc/edit?usp=sharing"",""ประจวบคีรีขันธ์!M102"")+IMPORTRANGE(""https://docs.google.com/spreadsheets/d/1vVf6wykvW_lAyu7Yo9L4hUTqHqIeP_qcVuxCtosJEbg/edit?usp=sharing"",""ปราจีนบุรี!M102"")+IMPORTRANGE(""https://docs.googl"&amp;"e.com/spreadsheets/d/1BIDqLLg5jk3v59G8NlR8rk5xfQDKne0sAvZHSj7TI6I/edit?usp=sharing"",""พระนครศรีอยุธยา!M102"")+IMPORTRANGE(""https://docs.google.com/spreadsheets/d/1YXvxf8Yu6_rV4hTBrwMqAcAnv6DfhUxh5emyM3CJp_w/edit?usp=sharing"",""เพชรบุรี!M102"")+IMPORTRA"&amp;"NGE(""https://docs.google.com/spreadsheets/d/19KBlQQs7uwvsao6t2n-KvW3Ax8J8uRRfZPq1zPbXgKc/edit?usp=sharing"",""ระยอง!M102"")+IMPORTRANGE(""https://docs.google.com/spreadsheets/d/1jQ6P4QcrGM89YfqcC_PxOHGCMq5ezhucwJd8ci-NHng/edit?usp=sharing"",""ราชบุรี!M10"&amp;"2"")+IMPORTRANGE(""https://docs.google.com/spreadsheets/d/1lufeA2cfFqM-elVq2hznhDzC6Pr7wkJ9ZG_sYNGCMCU/edit?usp=sharing"",""ลพบุรี!M102"")+IMPORTRANGE(""https://docs.google.com/spreadsheets/d/10oOiF7loTyfsTkbd4MpaIm0HQ9SwB7IYHdIUvt-U1Uc/edit?usp=sharing"""&amp;",""สระแก้ว!M102"")+IMPORTRANGE(""https://docs.google.com/spreadsheets/d/1xmPlrr1QbdSIKvl1dWUl9K4PjAfSL9oeMr_37QVzcxc/edit?usp=sharing"",""สระบุรี!M102"")+IMPORTRANGE(""https://docs.google.com/spreadsheets/d/1j51vR6CYVGhABJpv6tkstgok82RLpXieLzW1yOY5rHw/edi"&amp;"t?usp=sharing"",""สิงห์บุรี!M102"")+IMPORTRANGE(""https://docs.google.com/spreadsheets/d/1H1EalTWKUSzO4Z1-1CwzoDUaVffgrThEBe2sl74kKG0/edit?usp=sharing"",""สุพรรณบุรี!M102"")+IMPORTRANGE(""https://docs.google.com/spreadsheets/d/1BmIruG_sIrJLYao_Pdr7zVArWsf"&amp;"oBt2692TMi6x_854/edit?usp=sharing"",""อ่างทอง!M102"")"),0)</f>
        <v>0</v>
      </c>
      <c r="N102" s="59">
        <f ca="1">IFERROR(__xludf.DUMMYFUNCTION("IMPORTRANGE(""https://docs.google.com/spreadsheets/d/13wPX838HrBrQMCywv1BsuMkt4PEKTChp52zj44s2izQ/edit?usp=sharing"",""กาญจนบุรี!N102"")+IMPORTRANGE(""https://docs.google.com/spreadsheets/d/1ddFKvqj1W1NEiWytbGlB1zMx_ykJDVtmfEQ-6-lIUBA/edit?usp=sharing"","&amp;"""จันทบุรี!N102"")+IMPORTRANGE(""https://docs.google.com/spreadsheets/d/1T1PQvRODqOBZk8BRht_U031fIS1beLA0Ub2CEytj2q0/edit?usp=sharing"",""ฉะเชิงเทรา!N102"")+IMPORTRANGE(""https://docs.google.com/spreadsheets/d/11tr1B-Bhyr79v2bkwVh5h_fR-PStkgjlZtkrZpYurG0/"&amp;"edit?usp=sharing"",""ชลบุรี!N102"")+IMPORTRANGE(""https://docs.google.com/spreadsheets/d/1hh-FVnSX0vozXhGluamEcS54Dw9_zqW0N7qJUWgJ0Sw/edit?usp=sharing"",""ชัยนาท!N102"")+IMPORTRANGE(""https://docs.google.com/spreadsheets/d/1jkqa6GXxSacMcY1eN8AHjMNJ_7dDXMJ"&amp;"VRLDlaFSOdPM/edit?usp=sharing"",""ตราด!N102"")+IMPORTRANGE(""https://docs.google.com/spreadsheets/d/18hSgUJ3VwClqi_qtULmmW3cLr0oe3OKaSYoKzdpTsYQ/edit?usp=sharing"",""นครนายก!N102"")+IMPORTRANGE(""https://docs.google.com/spreadsheets/d/1YTZo6WM2dQ6Ix6FSdnL"&amp;"5P7uVnVKu40sxZu975tgG10E/edit?usp=sharing"",""นครปฐม!N102"")+IMPORTRANGE(""https://docs.google.com/spreadsheets/d/1OYoGg4WDg5RIzwGeB10padOxJF9E_Vljuvvct_M7RDo/edit?usp=sharing"",""ปทุมธานี!N102"")+IMPORTRANGE(""https://docs.google.com/spreadsheets/d/1GbCI"&amp;"E4D4wk9FUozzqk7SxfDMxDVBwVmI5zcaVUSzKAc/edit?usp=sharing"",""ประจวบคีรีขันธ์!N102"")+IMPORTRANGE(""https://docs.google.com/spreadsheets/d/1vVf6wykvW_lAyu7Yo9L4hUTqHqIeP_qcVuxCtosJEbg/edit?usp=sharing"",""ปราจีนบุรี!N102"")+IMPORTRANGE(""https://docs.googl"&amp;"e.com/spreadsheets/d/1BIDqLLg5jk3v59G8NlR8rk5xfQDKne0sAvZHSj7TI6I/edit?usp=sharing"",""พระนครศรีอยุธยา!N102"")+IMPORTRANGE(""https://docs.google.com/spreadsheets/d/1YXvxf8Yu6_rV4hTBrwMqAcAnv6DfhUxh5emyM3CJp_w/edit?usp=sharing"",""เพชรบุรี!N102"")+IMPORTRA"&amp;"NGE(""https://docs.google.com/spreadsheets/d/19KBlQQs7uwvsao6t2n-KvW3Ax8J8uRRfZPq1zPbXgKc/edit?usp=sharing"",""ระยอง!N102"")+IMPORTRANGE(""https://docs.google.com/spreadsheets/d/1jQ6P4QcrGM89YfqcC_PxOHGCMq5ezhucwJd8ci-NHng/edit?usp=sharing"",""ราชบุรี!N10"&amp;"2"")+IMPORTRANGE(""https://docs.google.com/spreadsheets/d/1lufeA2cfFqM-elVq2hznhDzC6Pr7wkJ9ZG_sYNGCMCU/edit?usp=sharing"",""ลพบุรี!N102"")+IMPORTRANGE(""https://docs.google.com/spreadsheets/d/10oOiF7loTyfsTkbd4MpaIm0HQ9SwB7IYHdIUvt-U1Uc/edit?usp=sharing"""&amp;",""สระแก้ว!N102"")+IMPORTRANGE(""https://docs.google.com/spreadsheets/d/1xmPlrr1QbdSIKvl1dWUl9K4PjAfSL9oeMr_37QVzcxc/edit?usp=sharing"",""สระบุรี!N102"")+IMPORTRANGE(""https://docs.google.com/spreadsheets/d/1j51vR6CYVGhABJpv6tkstgok82RLpXieLzW1yOY5rHw/edi"&amp;"t?usp=sharing"",""สิงห์บุรี!N102"")+IMPORTRANGE(""https://docs.google.com/spreadsheets/d/1H1EalTWKUSzO4Z1-1CwzoDUaVffgrThEBe2sl74kKG0/edit?usp=sharing"",""สุพรรณบุรี!N102"")+IMPORTRANGE(""https://docs.google.com/spreadsheets/d/1BmIruG_sIrJLYao_Pdr7zVArWsf"&amp;"oBt2692TMi6x_854/edit?usp=sharing"",""อ่างทอง!N102"")"),0)</f>
        <v>0</v>
      </c>
      <c r="O102" s="59">
        <f t="shared" ca="1" si="47"/>
        <v>0</v>
      </c>
      <c r="P102" s="59">
        <f t="shared" ca="1" si="48"/>
        <v>0</v>
      </c>
    </row>
    <row r="103" spans="1:16" ht="19.5" x14ac:dyDescent="0.3">
      <c r="A103" s="167"/>
      <c r="B103" s="168"/>
      <c r="C103" s="158" t="s">
        <v>16</v>
      </c>
      <c r="D103" s="169" t="s">
        <v>36</v>
      </c>
      <c r="E103" s="170"/>
      <c r="F103" s="170"/>
      <c r="G103" s="171"/>
      <c r="H103" s="172"/>
      <c r="I103" s="164"/>
      <c r="J103" s="57"/>
      <c r="K103" s="58"/>
      <c r="L103" s="58"/>
      <c r="M103" s="58"/>
      <c r="N103" s="58"/>
      <c r="O103" s="165"/>
      <c r="P103" s="165"/>
    </row>
    <row r="104" spans="1:16" ht="18.75" hidden="1" x14ac:dyDescent="0.25">
      <c r="A104" s="186"/>
      <c r="B104" s="187"/>
      <c r="C104" s="187"/>
      <c r="D104" s="188"/>
      <c r="E104" s="189"/>
      <c r="F104" s="189"/>
      <c r="G104" s="190"/>
      <c r="H104" s="191"/>
      <c r="I104" s="192"/>
      <c r="J104" s="192"/>
      <c r="K104" s="193"/>
      <c r="L104" s="23"/>
      <c r="M104" s="23"/>
      <c r="N104" s="23"/>
      <c r="O104" s="23"/>
      <c r="P104" s="23"/>
    </row>
    <row r="105" spans="1:16" ht="18.75" hidden="1" x14ac:dyDescent="0.25">
      <c r="A105" s="186"/>
      <c r="B105" s="187"/>
      <c r="C105" s="187"/>
      <c r="D105" s="188"/>
      <c r="E105" s="189"/>
      <c r="F105" s="189"/>
      <c r="G105" s="190"/>
      <c r="H105" s="191"/>
      <c r="I105" s="192"/>
      <c r="J105" s="192"/>
      <c r="K105" s="193"/>
      <c r="L105" s="23"/>
      <c r="M105" s="23"/>
      <c r="N105" s="23"/>
      <c r="O105" s="23"/>
      <c r="P105" s="23"/>
    </row>
    <row r="106" spans="1:16" ht="18.75" hidden="1" x14ac:dyDescent="0.25">
      <c r="A106" s="186"/>
      <c r="B106" s="187"/>
      <c r="C106" s="187"/>
      <c r="D106" s="187"/>
      <c r="E106" s="189"/>
      <c r="F106" s="189"/>
      <c r="G106" s="190"/>
      <c r="H106" s="191"/>
      <c r="I106" s="192"/>
      <c r="J106" s="192"/>
      <c r="K106" s="193"/>
      <c r="L106" s="23"/>
      <c r="M106" s="23"/>
      <c r="N106" s="23"/>
      <c r="O106" s="23"/>
      <c r="P106" s="23"/>
    </row>
    <row r="107" spans="1:16" ht="19.5" x14ac:dyDescent="0.3">
      <c r="A107" s="167"/>
      <c r="B107" s="168"/>
      <c r="C107" s="168"/>
      <c r="D107" s="194" t="s">
        <v>45</v>
      </c>
      <c r="F107" s="174"/>
      <c r="G107" s="172"/>
      <c r="H107" s="55"/>
      <c r="I107" s="57"/>
      <c r="J107" s="57"/>
      <c r="K107" s="58"/>
      <c r="L107" s="58"/>
      <c r="M107" s="58"/>
      <c r="N107" s="58"/>
      <c r="O107" s="165"/>
      <c r="P107" s="165"/>
    </row>
    <row r="108" spans="1:16" ht="18.75" x14ac:dyDescent="0.25">
      <c r="A108" s="167"/>
      <c r="B108" s="168"/>
      <c r="C108" s="168"/>
      <c r="D108" s="195" t="s">
        <v>46</v>
      </c>
      <c r="E108" s="195"/>
      <c r="F108" s="174"/>
      <c r="G108" s="172"/>
      <c r="H108" s="56" t="s">
        <v>44</v>
      </c>
      <c r="I108" s="196">
        <f ca="1">IFERROR(__xludf.DUMMYFUNCTION("IMPORTRANGE(""https://docs.google.com/spreadsheets/d/13wPX838HrBrQMCywv1BsuMkt4PEKTChp52zj44s2izQ/edit?usp=sharing"",""กาญจนบุรี!I108"")+IMPORTRANGE(""https://docs.google.com/spreadsheets/d/1ddFKvqj1W1NEiWytbGlB1zMx_ykJDVtmfEQ-6-lIUBA/edit?usp=sharing"","&amp;"""จันทบุรี!I108"")+IMPORTRANGE(""https://docs.google.com/spreadsheets/d/1T1PQvRODqOBZk8BRht_U031fIS1beLA0Ub2CEytj2q0/edit?usp=sharing"",""ฉะเชิงเทรา!I108"")+IMPORTRANGE(""https://docs.google.com/spreadsheets/d/11tr1B-Bhyr79v2bkwVh5h_fR-PStkgjlZtkrZpYurG0/"&amp;"edit?usp=sharing"",""ชลบุรี!I108"")+IMPORTRANGE(""https://docs.google.com/spreadsheets/d/1hh-FVnSX0vozXhGluamEcS54Dw9_zqW0N7qJUWgJ0Sw/edit?usp=sharing"",""ชัยนาท!I108"")+IMPORTRANGE(""https://docs.google.com/spreadsheets/d/1jkqa6GXxSacMcY1eN8AHjMNJ_7dDXMJ"&amp;"VRLDlaFSOdPM/edit?usp=sharing"",""ตราด!I108"")+IMPORTRANGE(""https://docs.google.com/spreadsheets/d/18hSgUJ3VwClqi_qtULmmW3cLr0oe3OKaSYoKzdpTsYQ/edit?usp=sharing"",""นครนายก!I108"")+IMPORTRANGE(""https://docs.google.com/spreadsheets/d/1YTZo6WM2dQ6Ix6FSdnL"&amp;"5P7uVnVKu40sxZu975tgG10E/edit?usp=sharing"",""นครปฐม!I108"")+IMPORTRANGE(""https://docs.google.com/spreadsheets/d/1OYoGg4WDg5RIzwGeB10padOxJF9E_Vljuvvct_M7RDo/edit?usp=sharing"",""ปทุมธานี!I108"")+IMPORTRANGE(""https://docs.google.com/spreadsheets/d/1GbCI"&amp;"E4D4wk9FUozzqk7SxfDMxDVBwVmI5zcaVUSzKAc/edit?usp=sharing"",""ประจวบคีรีขันธ์!I108"")+IMPORTRANGE(""https://docs.google.com/spreadsheets/d/1vVf6wykvW_lAyu7Yo9L4hUTqHqIeP_qcVuxCtosJEbg/edit?usp=sharing"",""ปราจีนบุรี!I108"")+IMPORTRANGE(""https://docs.googl"&amp;"e.com/spreadsheets/d/1BIDqLLg5jk3v59G8NlR8rk5xfQDKne0sAvZHSj7TI6I/edit?usp=sharing"",""พระนครศรีอยุธยา!I108"")+IMPORTRANGE(""https://docs.google.com/spreadsheets/d/1YXvxf8Yu6_rV4hTBrwMqAcAnv6DfhUxh5emyM3CJp_w/edit?usp=sharing"",""เพชรบุรี!I108"")+IMPORTRA"&amp;"NGE(""https://docs.google.com/spreadsheets/d/19KBlQQs7uwvsao6t2n-KvW3Ax8J8uRRfZPq1zPbXgKc/edit?usp=sharing"",""ระยอง!I108"")+IMPORTRANGE(""https://docs.google.com/spreadsheets/d/1jQ6P4QcrGM89YfqcC_PxOHGCMq5ezhucwJd8ci-NHng/edit?usp=sharing"",""ราชบุรี!I10"&amp;"8"")+IMPORTRANGE(""https://docs.google.com/spreadsheets/d/1lufeA2cfFqM-elVq2hznhDzC6Pr7wkJ9ZG_sYNGCMCU/edit?usp=sharing"",""ลพบุรี!I108"")+IMPORTRANGE(""https://docs.google.com/spreadsheets/d/10oOiF7loTyfsTkbd4MpaIm0HQ9SwB7IYHdIUvt-U1Uc/edit?usp=sharing"""&amp;",""สระแก้ว!I108"")+IMPORTRANGE(""https://docs.google.com/spreadsheets/d/1xmPlrr1QbdSIKvl1dWUl9K4PjAfSL9oeMr_37QVzcxc/edit?usp=sharing"",""สระบุรี!I108"")+IMPORTRANGE(""https://docs.google.com/spreadsheets/d/1j51vR6CYVGhABJpv6tkstgok82RLpXieLzW1yOY5rHw/edi"&amp;"t?usp=sharing"",""สิงห์บุรี!I108"")+IMPORTRANGE(""https://docs.google.com/spreadsheets/d/1H1EalTWKUSzO4Z1-1CwzoDUaVffgrThEBe2sl74kKG0/edit?usp=sharing"",""สุพรรณบุรี!I108"")+IMPORTRANGE(""https://docs.google.com/spreadsheets/d/1BmIruG_sIrJLYao_Pdr7zVArWsf"&amp;"oBt2692TMi6x_854/edit?usp=sharing"",""อ่างทอง!I108"")"),93)</f>
        <v>93</v>
      </c>
      <c r="J108" s="182">
        <f ca="1">IFERROR(__xludf.DUMMYFUNCTION("IMPORTRANGE(""https://docs.google.com/spreadsheets/d/13wPX838HrBrQMCywv1BsuMkt4PEKTChp52zj44s2izQ/edit?usp=sharing"",""กาญจนบุรี!J108"")+IMPORTRANGE(""https://docs.google.com/spreadsheets/d/1ddFKvqj1W1NEiWytbGlB1zMx_ykJDVtmfEQ-6-lIUBA/edit?usp=sharing"","&amp;"""จันทบุรี!J108"")+IMPORTRANGE(""https://docs.google.com/spreadsheets/d/1T1PQvRODqOBZk8BRht_U031fIS1beLA0Ub2CEytj2q0/edit?usp=sharing"",""ฉะเชิงเทรา!J108"")+IMPORTRANGE(""https://docs.google.com/spreadsheets/d/11tr1B-Bhyr79v2bkwVh5h_fR-PStkgjlZtkrZpYurG0/"&amp;"edit?usp=sharing"",""ชลบุรี!J108"")+IMPORTRANGE(""https://docs.google.com/spreadsheets/d/1hh-FVnSX0vozXhGluamEcS54Dw9_zqW0N7qJUWgJ0Sw/edit?usp=sharing"",""ชัยนาท!J108"")+IMPORTRANGE(""https://docs.google.com/spreadsheets/d/1jkqa6GXxSacMcY1eN8AHjMNJ_7dDXMJ"&amp;"VRLDlaFSOdPM/edit?usp=sharing"",""ตราด!J108"")+IMPORTRANGE(""https://docs.google.com/spreadsheets/d/18hSgUJ3VwClqi_qtULmmW3cLr0oe3OKaSYoKzdpTsYQ/edit?usp=sharing"",""นครนายก!J108"")+IMPORTRANGE(""https://docs.google.com/spreadsheets/d/1YTZo6WM2dQ6Ix6FSdnL"&amp;"5P7uVnVKu40sxZu975tgG10E/edit?usp=sharing"",""นครปฐม!J108"")+IMPORTRANGE(""https://docs.google.com/spreadsheets/d/1OYoGg4WDg5RIzwGeB10padOxJF9E_Vljuvvct_M7RDo/edit?usp=sharing"",""ปทุมธานี!J108"")+IMPORTRANGE(""https://docs.google.com/spreadsheets/d/1GbCI"&amp;"E4D4wk9FUozzqk7SxfDMxDVBwVmI5zcaVUSzKAc/edit?usp=sharing"",""ประจวบคีรีขันธ์!J108"")+IMPORTRANGE(""https://docs.google.com/spreadsheets/d/1vVf6wykvW_lAyu7Yo9L4hUTqHqIeP_qcVuxCtosJEbg/edit?usp=sharing"",""ปราจีนบุรี!J108"")+IMPORTRANGE(""https://docs.googl"&amp;"e.com/spreadsheets/d/1BIDqLLg5jk3v59G8NlR8rk5xfQDKne0sAvZHSj7TI6I/edit?usp=sharing"",""พระนครศรีอยุธยา!J108"")+IMPORTRANGE(""https://docs.google.com/spreadsheets/d/1YXvxf8Yu6_rV4hTBrwMqAcAnv6DfhUxh5emyM3CJp_w/edit?usp=sharing"",""เพชรบุรี!J108"")+IMPORTRA"&amp;"NGE(""https://docs.google.com/spreadsheets/d/19KBlQQs7uwvsao6t2n-KvW3Ax8J8uRRfZPq1zPbXgKc/edit?usp=sharing"",""ระยอง!J108"")+IMPORTRANGE(""https://docs.google.com/spreadsheets/d/1jQ6P4QcrGM89YfqcC_PxOHGCMq5ezhucwJd8ci-NHng/edit?usp=sharing"",""ราชบุรี!J10"&amp;"8"")+IMPORTRANGE(""https://docs.google.com/spreadsheets/d/1lufeA2cfFqM-elVq2hznhDzC6Pr7wkJ9ZG_sYNGCMCU/edit?usp=sharing"",""ลพบุรี!J108"")+IMPORTRANGE(""https://docs.google.com/spreadsheets/d/10oOiF7loTyfsTkbd4MpaIm0HQ9SwB7IYHdIUvt-U1Uc/edit?usp=sharing"""&amp;",""สระแก้ว!J108"")+IMPORTRANGE(""https://docs.google.com/spreadsheets/d/1xmPlrr1QbdSIKvl1dWUl9K4PjAfSL9oeMr_37QVzcxc/edit?usp=sharing"",""สระบุรี!J108"")+IMPORTRANGE(""https://docs.google.com/spreadsheets/d/1j51vR6CYVGhABJpv6tkstgok82RLpXieLzW1yOY5rHw/edi"&amp;"t?usp=sharing"",""สิงห์บุรี!J108"")+IMPORTRANGE(""https://docs.google.com/spreadsheets/d/1H1EalTWKUSzO4Z1-1CwzoDUaVffgrThEBe2sl74kKG0/edit?usp=sharing"",""สุพรรณบุรี!J108"")+IMPORTRANGE(""https://docs.google.com/spreadsheets/d/1BmIruG_sIrJLYao_Pdr7zVArWsf"&amp;"oBt2692TMi6x_854/edit?usp=sharing"",""อ่างทอง!J108"")"),0)</f>
        <v>0</v>
      </c>
      <c r="K108" s="59">
        <f t="shared" ref="K108:K109" ca="1" si="53">IF(I108&gt;0,J108*100/I108,0)</f>
        <v>0</v>
      </c>
      <c r="L108" s="58"/>
      <c r="M108" s="58"/>
      <c r="N108" s="58"/>
      <c r="O108" s="165"/>
      <c r="P108" s="165"/>
    </row>
    <row r="109" spans="1:16" ht="18.75" x14ac:dyDescent="0.25">
      <c r="A109" s="167"/>
      <c r="B109" s="168"/>
      <c r="C109" s="168"/>
      <c r="D109" s="179" t="s">
        <v>47</v>
      </c>
      <c r="E109" s="179"/>
      <c r="F109" s="174"/>
      <c r="G109" s="172"/>
      <c r="H109" s="56" t="s">
        <v>33</v>
      </c>
      <c r="I109" s="196">
        <f ca="1">IFERROR(__xludf.DUMMYFUNCTION("IMPORTRANGE(""https://docs.google.com/spreadsheets/d/13wPX838HrBrQMCywv1BsuMkt4PEKTChp52zj44s2izQ/edit?usp=sharing"",""กาญจนบุรี!I109"")+IMPORTRANGE(""https://docs.google.com/spreadsheets/d/1ddFKvqj1W1NEiWytbGlB1zMx_ykJDVtmfEQ-6-lIUBA/edit?usp=sharing"","&amp;"""จันทบุรี!I109"")+IMPORTRANGE(""https://docs.google.com/spreadsheets/d/1T1PQvRODqOBZk8BRht_U031fIS1beLA0Ub2CEytj2q0/edit?usp=sharing"",""ฉะเชิงเทรา!I109"")+IMPORTRANGE(""https://docs.google.com/spreadsheets/d/11tr1B-Bhyr79v2bkwVh5h_fR-PStkgjlZtkrZpYurG0/"&amp;"edit?usp=sharing"",""ชลบุรี!I109"")+IMPORTRANGE(""https://docs.google.com/spreadsheets/d/1hh-FVnSX0vozXhGluamEcS54Dw9_zqW0N7qJUWgJ0Sw/edit?usp=sharing"",""ชัยนาท!I109"")+IMPORTRANGE(""https://docs.google.com/spreadsheets/d/1jkqa6GXxSacMcY1eN8AHjMNJ_7dDXMJ"&amp;"VRLDlaFSOdPM/edit?usp=sharing"",""ตราด!I109"")+IMPORTRANGE(""https://docs.google.com/spreadsheets/d/18hSgUJ3VwClqi_qtULmmW3cLr0oe3OKaSYoKzdpTsYQ/edit?usp=sharing"",""นครนายก!I109"")+IMPORTRANGE(""https://docs.google.com/spreadsheets/d/1YTZo6WM2dQ6Ix6FSdnL"&amp;"5P7uVnVKu40sxZu975tgG10E/edit?usp=sharing"",""นครปฐม!I109"")+IMPORTRANGE(""https://docs.google.com/spreadsheets/d/1OYoGg4WDg5RIzwGeB10padOxJF9E_Vljuvvct_M7RDo/edit?usp=sharing"",""ปทุมธานี!I109"")+IMPORTRANGE(""https://docs.google.com/spreadsheets/d/1GbCI"&amp;"E4D4wk9FUozzqk7SxfDMxDVBwVmI5zcaVUSzKAc/edit?usp=sharing"",""ประจวบคีรีขันธ์!I109"")+IMPORTRANGE(""https://docs.google.com/spreadsheets/d/1vVf6wykvW_lAyu7Yo9L4hUTqHqIeP_qcVuxCtosJEbg/edit?usp=sharing"",""ปราจีนบุรี!I109"")+IMPORTRANGE(""https://docs.googl"&amp;"e.com/spreadsheets/d/1BIDqLLg5jk3v59G8NlR8rk5xfQDKne0sAvZHSj7TI6I/edit?usp=sharing"",""พระนครศรีอยุธยา!I109"")+IMPORTRANGE(""https://docs.google.com/spreadsheets/d/1YXvxf8Yu6_rV4hTBrwMqAcAnv6DfhUxh5emyM3CJp_w/edit?usp=sharing"",""เพชรบุรี!I109"")+IMPORTRA"&amp;"NGE(""https://docs.google.com/spreadsheets/d/19KBlQQs7uwvsao6t2n-KvW3Ax8J8uRRfZPq1zPbXgKc/edit?usp=sharing"",""ระยอง!I109"")+IMPORTRANGE(""https://docs.google.com/spreadsheets/d/1jQ6P4QcrGM89YfqcC_PxOHGCMq5ezhucwJd8ci-NHng/edit?usp=sharing"",""ราชบุรี!I10"&amp;"9"")+IMPORTRANGE(""https://docs.google.com/spreadsheets/d/1lufeA2cfFqM-elVq2hznhDzC6Pr7wkJ9ZG_sYNGCMCU/edit?usp=sharing"",""ลพบุรี!I109"")+IMPORTRANGE(""https://docs.google.com/spreadsheets/d/10oOiF7loTyfsTkbd4MpaIm0HQ9SwB7IYHdIUvt-U1Uc/edit?usp=sharing"""&amp;",""สระแก้ว!I109"")+IMPORTRANGE(""https://docs.google.com/spreadsheets/d/1xmPlrr1QbdSIKvl1dWUl9K4PjAfSL9oeMr_37QVzcxc/edit?usp=sharing"",""สระบุรี!I109"")+IMPORTRANGE(""https://docs.google.com/spreadsheets/d/1j51vR6CYVGhABJpv6tkstgok82RLpXieLzW1yOY5rHw/edi"&amp;"t?usp=sharing"",""สิงห์บุรี!I109"")+IMPORTRANGE(""https://docs.google.com/spreadsheets/d/1H1EalTWKUSzO4Z1-1CwzoDUaVffgrThEBe2sl74kKG0/edit?usp=sharing"",""สุพรรณบุรี!I109"")+IMPORTRANGE(""https://docs.google.com/spreadsheets/d/1BmIruG_sIrJLYao_Pdr7zVArWsf"&amp;"oBt2692TMi6x_854/edit?usp=sharing"",""อ่างทอง!I109"")"),31)</f>
        <v>31</v>
      </c>
      <c r="J109" s="182">
        <f ca="1">IFERROR(__xludf.DUMMYFUNCTION("IMPORTRANGE(""https://docs.google.com/spreadsheets/d/13wPX838HrBrQMCywv1BsuMkt4PEKTChp52zj44s2izQ/edit?usp=sharing"",""กาญจนบุรี!J109"")+IMPORTRANGE(""https://docs.google.com/spreadsheets/d/1ddFKvqj1W1NEiWytbGlB1zMx_ykJDVtmfEQ-6-lIUBA/edit?usp=sharing"","&amp;"""จันทบุรี!J109"")+IMPORTRANGE(""https://docs.google.com/spreadsheets/d/1T1PQvRODqOBZk8BRht_U031fIS1beLA0Ub2CEytj2q0/edit?usp=sharing"",""ฉะเชิงเทรา!J109"")+IMPORTRANGE(""https://docs.google.com/spreadsheets/d/11tr1B-Bhyr79v2bkwVh5h_fR-PStkgjlZtkrZpYurG0/"&amp;"edit?usp=sharing"",""ชลบุรี!J109"")+IMPORTRANGE(""https://docs.google.com/spreadsheets/d/1hh-FVnSX0vozXhGluamEcS54Dw9_zqW0N7qJUWgJ0Sw/edit?usp=sharing"",""ชัยนาท!J109"")+IMPORTRANGE(""https://docs.google.com/spreadsheets/d/1jkqa6GXxSacMcY1eN8AHjMNJ_7dDXMJ"&amp;"VRLDlaFSOdPM/edit?usp=sharing"",""ตราด!J109"")+IMPORTRANGE(""https://docs.google.com/spreadsheets/d/18hSgUJ3VwClqi_qtULmmW3cLr0oe3OKaSYoKzdpTsYQ/edit?usp=sharing"",""นครนายก!J109"")+IMPORTRANGE(""https://docs.google.com/spreadsheets/d/1YTZo6WM2dQ6Ix6FSdnL"&amp;"5P7uVnVKu40sxZu975tgG10E/edit?usp=sharing"",""นครปฐม!J109"")+IMPORTRANGE(""https://docs.google.com/spreadsheets/d/1OYoGg4WDg5RIzwGeB10padOxJF9E_Vljuvvct_M7RDo/edit?usp=sharing"",""ปทุมธานี!J109"")+IMPORTRANGE(""https://docs.google.com/spreadsheets/d/1GbCI"&amp;"E4D4wk9FUozzqk7SxfDMxDVBwVmI5zcaVUSzKAc/edit?usp=sharing"",""ประจวบคีรีขันธ์!J109"")+IMPORTRANGE(""https://docs.google.com/spreadsheets/d/1vVf6wykvW_lAyu7Yo9L4hUTqHqIeP_qcVuxCtosJEbg/edit?usp=sharing"",""ปราจีนบุรี!J109"")+IMPORTRANGE(""https://docs.googl"&amp;"e.com/spreadsheets/d/1BIDqLLg5jk3v59G8NlR8rk5xfQDKne0sAvZHSj7TI6I/edit?usp=sharing"",""พระนครศรีอยุธยา!J109"")+IMPORTRANGE(""https://docs.google.com/spreadsheets/d/1YXvxf8Yu6_rV4hTBrwMqAcAnv6DfhUxh5emyM3CJp_w/edit?usp=sharing"",""เพชรบุรี!J109"")+IMPORTRA"&amp;"NGE(""https://docs.google.com/spreadsheets/d/19KBlQQs7uwvsao6t2n-KvW3Ax8J8uRRfZPq1zPbXgKc/edit?usp=sharing"",""ระยอง!J109"")+IMPORTRANGE(""https://docs.google.com/spreadsheets/d/1jQ6P4QcrGM89YfqcC_PxOHGCMq5ezhucwJd8ci-NHng/edit?usp=sharing"",""ราชบุรี!J10"&amp;"9"")+IMPORTRANGE(""https://docs.google.com/spreadsheets/d/1lufeA2cfFqM-elVq2hznhDzC6Pr7wkJ9ZG_sYNGCMCU/edit?usp=sharing"",""ลพบุรี!J109"")+IMPORTRANGE(""https://docs.google.com/spreadsheets/d/10oOiF7loTyfsTkbd4MpaIm0HQ9SwB7IYHdIUvt-U1Uc/edit?usp=sharing"""&amp;",""สระแก้ว!J109"")+IMPORTRANGE(""https://docs.google.com/spreadsheets/d/1xmPlrr1QbdSIKvl1dWUl9K4PjAfSL9oeMr_37QVzcxc/edit?usp=sharing"",""สระบุรี!J109"")+IMPORTRANGE(""https://docs.google.com/spreadsheets/d/1j51vR6CYVGhABJpv6tkstgok82RLpXieLzW1yOY5rHw/edi"&amp;"t?usp=sharing"",""สิงห์บุรี!J109"")+IMPORTRANGE(""https://docs.google.com/spreadsheets/d/1H1EalTWKUSzO4Z1-1CwzoDUaVffgrThEBe2sl74kKG0/edit?usp=sharing"",""สุพรรณบุรี!J109"")+IMPORTRANGE(""https://docs.google.com/spreadsheets/d/1BmIruG_sIrJLYao_Pdr7zVArWsf"&amp;"oBt2692TMi6x_854/edit?usp=sharing"",""อ่างทอง!J109"")"),0)</f>
        <v>0</v>
      </c>
      <c r="K109" s="59">
        <f t="shared" ca="1" si="53"/>
        <v>0</v>
      </c>
      <c r="L109" s="58"/>
      <c r="M109" s="58"/>
      <c r="N109" s="58"/>
      <c r="O109" s="165"/>
      <c r="P109" s="165"/>
    </row>
    <row r="110" spans="1:16" ht="19.5" hidden="1" x14ac:dyDescent="0.3">
      <c r="A110" s="186"/>
      <c r="B110" s="187"/>
      <c r="C110" s="187"/>
      <c r="D110" s="189"/>
      <c r="E110" s="197"/>
      <c r="F110" s="189"/>
      <c r="G110" s="190"/>
      <c r="H110" s="190"/>
      <c r="I110" s="198"/>
      <c r="J110" s="199"/>
      <c r="K110" s="200"/>
      <c r="L110" s="23"/>
      <c r="M110" s="23"/>
      <c r="N110" s="23"/>
      <c r="O110" s="23"/>
      <c r="P110" s="23"/>
    </row>
    <row r="111" spans="1:16" ht="18.75" hidden="1" x14ac:dyDescent="0.25">
      <c r="A111" s="186"/>
      <c r="B111" s="187"/>
      <c r="C111" s="187"/>
      <c r="D111" s="189"/>
      <c r="E111" s="188"/>
      <c r="F111" s="189"/>
      <c r="G111" s="190"/>
      <c r="H111" s="191"/>
      <c r="I111" s="192"/>
      <c r="J111" s="201"/>
      <c r="K111" s="193"/>
      <c r="L111" s="23"/>
      <c r="M111" s="23"/>
      <c r="N111" s="23"/>
      <c r="O111" s="23"/>
      <c r="P111" s="23"/>
    </row>
    <row r="112" spans="1:16" ht="18.75" hidden="1" x14ac:dyDescent="0.25">
      <c r="A112" s="186"/>
      <c r="B112" s="187"/>
      <c r="C112" s="187"/>
      <c r="D112" s="189"/>
      <c r="E112" s="202"/>
      <c r="F112" s="189"/>
      <c r="G112" s="190"/>
      <c r="H112" s="191"/>
      <c r="I112" s="192"/>
      <c r="J112" s="201"/>
      <c r="K112" s="193"/>
      <c r="L112" s="23"/>
      <c r="M112" s="23"/>
      <c r="N112" s="23"/>
      <c r="O112" s="23"/>
      <c r="P112" s="23"/>
    </row>
    <row r="113" spans="1:16" ht="19.5" hidden="1" x14ac:dyDescent="0.3">
      <c r="A113" s="186"/>
      <c r="B113" s="187"/>
      <c r="C113" s="187"/>
      <c r="D113" s="189"/>
      <c r="E113" s="197"/>
      <c r="F113" s="189"/>
      <c r="G113" s="190"/>
      <c r="H113" s="190"/>
      <c r="I113" s="198"/>
      <c r="J113" s="199"/>
      <c r="K113" s="200"/>
      <c r="L113" s="23"/>
      <c r="M113" s="23"/>
      <c r="N113" s="23"/>
      <c r="O113" s="23"/>
      <c r="P113" s="23"/>
    </row>
    <row r="114" spans="1:16" ht="18.75" hidden="1" x14ac:dyDescent="0.25">
      <c r="A114" s="186"/>
      <c r="B114" s="187"/>
      <c r="C114" s="187"/>
      <c r="D114" s="189"/>
      <c r="E114" s="188"/>
      <c r="F114" s="189"/>
      <c r="G114" s="190"/>
      <c r="H114" s="191"/>
      <c r="I114" s="192"/>
      <c r="J114" s="201"/>
      <c r="K114" s="193"/>
      <c r="L114" s="23"/>
      <c r="M114" s="23"/>
      <c r="N114" s="23"/>
      <c r="O114" s="23"/>
      <c r="P114" s="23"/>
    </row>
    <row r="115" spans="1:16" ht="18.75" hidden="1" x14ac:dyDescent="0.25">
      <c r="A115" s="186"/>
      <c r="B115" s="187"/>
      <c r="C115" s="187"/>
      <c r="D115" s="189"/>
      <c r="E115" s="203"/>
      <c r="F115" s="189"/>
      <c r="G115" s="190"/>
      <c r="H115" s="191"/>
      <c r="I115" s="192"/>
      <c r="J115" s="201"/>
      <c r="K115" s="193"/>
      <c r="L115" s="23"/>
      <c r="M115" s="23"/>
      <c r="N115" s="23"/>
      <c r="O115" s="23"/>
      <c r="P115" s="23"/>
    </row>
    <row r="116" spans="1:16" ht="18.75" hidden="1" x14ac:dyDescent="0.25">
      <c r="A116" s="186"/>
      <c r="B116" s="187"/>
      <c r="C116" s="187"/>
      <c r="D116" s="189"/>
      <c r="E116" s="203"/>
      <c r="F116" s="189"/>
      <c r="G116" s="190"/>
      <c r="H116" s="191"/>
      <c r="I116" s="192"/>
      <c r="J116" s="201"/>
      <c r="K116" s="193"/>
      <c r="L116" s="23"/>
      <c r="M116" s="23"/>
      <c r="N116" s="23"/>
      <c r="O116" s="23"/>
      <c r="P116" s="23"/>
    </row>
    <row r="117" spans="1:16" ht="18.75" x14ac:dyDescent="0.25">
      <c r="A117" s="167"/>
      <c r="B117" s="168"/>
      <c r="C117" s="168"/>
      <c r="D117" s="195" t="s">
        <v>48</v>
      </c>
      <c r="E117" s="174"/>
      <c r="F117" s="174"/>
      <c r="G117" s="172"/>
      <c r="H117" s="180" t="s">
        <v>33</v>
      </c>
      <c r="I117" s="184">
        <f ca="1">IFERROR(__xludf.DUMMYFUNCTION("IMPORTRANGE(""https://docs.google.com/spreadsheets/d/13wPX838HrBrQMCywv1BsuMkt4PEKTChp52zj44s2izQ/edit?usp=sharing"",""กาญจนบุรี!I117"")+IMPORTRANGE(""https://docs.google.com/spreadsheets/d/1ddFKvqj1W1NEiWytbGlB1zMx_ykJDVtmfEQ-6-lIUBA/edit?usp=sharing"","&amp;"""จันทบุรี!I117"")+IMPORTRANGE(""https://docs.google.com/spreadsheets/d/1T1PQvRODqOBZk8BRht_U031fIS1beLA0Ub2CEytj2q0/edit?usp=sharing"",""ฉะเชิงเทรา!I117"")+IMPORTRANGE(""https://docs.google.com/spreadsheets/d/11tr1B-Bhyr79v2bkwVh5h_fR-PStkgjlZtkrZpYurG0/"&amp;"edit?usp=sharing"",""ชลบุรี!I117"")+IMPORTRANGE(""https://docs.google.com/spreadsheets/d/1hh-FVnSX0vozXhGluamEcS54Dw9_zqW0N7qJUWgJ0Sw/edit?usp=sharing"",""ชัยนาท!I117"")+IMPORTRANGE(""https://docs.google.com/spreadsheets/d/1jkqa6GXxSacMcY1eN8AHjMNJ_7dDXMJ"&amp;"VRLDlaFSOdPM/edit?usp=sharing"",""ตราด!I117"")+IMPORTRANGE(""https://docs.google.com/spreadsheets/d/18hSgUJ3VwClqi_qtULmmW3cLr0oe3OKaSYoKzdpTsYQ/edit?usp=sharing"",""นครนายก!I117"")+IMPORTRANGE(""https://docs.google.com/spreadsheets/d/1YTZo6WM2dQ6Ix6FSdnL"&amp;"5P7uVnVKu40sxZu975tgG10E/edit?usp=sharing"",""นครปฐม!I117"")+IMPORTRANGE(""https://docs.google.com/spreadsheets/d/1OYoGg4WDg5RIzwGeB10padOxJF9E_Vljuvvct_M7RDo/edit?usp=sharing"",""ปทุมธานี!I117"")+IMPORTRANGE(""https://docs.google.com/spreadsheets/d/1GbCI"&amp;"E4D4wk9FUozzqk7SxfDMxDVBwVmI5zcaVUSzKAc/edit?usp=sharing"",""ประจวบคีรีขันธ์!I117"")+IMPORTRANGE(""https://docs.google.com/spreadsheets/d/1vVf6wykvW_lAyu7Yo9L4hUTqHqIeP_qcVuxCtosJEbg/edit?usp=sharing"",""ปราจีนบุรี!I117"")+IMPORTRANGE(""https://docs.googl"&amp;"e.com/spreadsheets/d/1BIDqLLg5jk3v59G8NlR8rk5xfQDKne0sAvZHSj7TI6I/edit?usp=sharing"",""พระนครศรีอยุธยา!I117"")+IMPORTRANGE(""https://docs.google.com/spreadsheets/d/1YXvxf8Yu6_rV4hTBrwMqAcAnv6DfhUxh5emyM3CJp_w/edit?usp=sharing"",""เพชรบุรี!I117"")+IMPORTRA"&amp;"NGE(""https://docs.google.com/spreadsheets/d/19KBlQQs7uwvsao6t2n-KvW3Ax8J8uRRfZPq1zPbXgKc/edit?usp=sharing"",""ระยอง!I117"")+IMPORTRANGE(""https://docs.google.com/spreadsheets/d/1jQ6P4QcrGM89YfqcC_PxOHGCMq5ezhucwJd8ci-NHng/edit?usp=sharing"",""ราชบุรี!I11"&amp;"7"")+IMPORTRANGE(""https://docs.google.com/spreadsheets/d/1lufeA2cfFqM-elVq2hznhDzC6Pr7wkJ9ZG_sYNGCMCU/edit?usp=sharing"",""ลพบุรี!I117"")+IMPORTRANGE(""https://docs.google.com/spreadsheets/d/10oOiF7loTyfsTkbd4MpaIm0HQ9SwB7IYHdIUvt-U1Uc/edit?usp=sharing"""&amp;",""สระแก้ว!I117"")+IMPORTRANGE(""https://docs.google.com/spreadsheets/d/1xmPlrr1QbdSIKvl1dWUl9K4PjAfSL9oeMr_37QVzcxc/edit?usp=sharing"",""สระบุรี!I117"")+IMPORTRANGE(""https://docs.google.com/spreadsheets/d/1j51vR6CYVGhABJpv6tkstgok82RLpXieLzW1yOY5rHw/edi"&amp;"t?usp=sharing"",""สิงห์บุรี!I117"")+IMPORTRANGE(""https://docs.google.com/spreadsheets/d/1H1EalTWKUSzO4Z1-1CwzoDUaVffgrThEBe2sl74kKG0/edit?usp=sharing"",""สุพรรณบุรี!I117"")+IMPORTRANGE(""https://docs.google.com/spreadsheets/d/1BmIruG_sIrJLYao_Pdr7zVArWsf"&amp;"oBt2692TMi6x_854/edit?usp=sharing"",""อ่างทอง!I117"")"),31)</f>
        <v>31</v>
      </c>
      <c r="J117" s="182">
        <f ca="1">IFERROR(__xludf.DUMMYFUNCTION("IMPORTRANGE(""https://docs.google.com/spreadsheets/d/13wPX838HrBrQMCywv1BsuMkt4PEKTChp52zj44s2izQ/edit?usp=sharing"",""กาญจนบุรี!J117"")+IMPORTRANGE(""https://docs.google.com/spreadsheets/d/1ddFKvqj1W1NEiWytbGlB1zMx_ykJDVtmfEQ-6-lIUBA/edit?usp=sharing"","&amp;"""จันทบุรี!J117"")+IMPORTRANGE(""https://docs.google.com/spreadsheets/d/1T1PQvRODqOBZk8BRht_U031fIS1beLA0Ub2CEytj2q0/edit?usp=sharing"",""ฉะเชิงเทรา!J117"")+IMPORTRANGE(""https://docs.google.com/spreadsheets/d/11tr1B-Bhyr79v2bkwVh5h_fR-PStkgjlZtkrZpYurG0/"&amp;"edit?usp=sharing"",""ชลบุรี!J117"")+IMPORTRANGE(""https://docs.google.com/spreadsheets/d/1hh-FVnSX0vozXhGluamEcS54Dw9_zqW0N7qJUWgJ0Sw/edit?usp=sharing"",""ชัยนาท!J117"")+IMPORTRANGE(""https://docs.google.com/spreadsheets/d/1jkqa6GXxSacMcY1eN8AHjMNJ_7dDXMJ"&amp;"VRLDlaFSOdPM/edit?usp=sharing"",""ตราด!J117"")+IMPORTRANGE(""https://docs.google.com/spreadsheets/d/18hSgUJ3VwClqi_qtULmmW3cLr0oe3OKaSYoKzdpTsYQ/edit?usp=sharing"",""นครนายก!J117"")+IMPORTRANGE(""https://docs.google.com/spreadsheets/d/1YTZo6WM2dQ6Ix6FSdnL"&amp;"5P7uVnVKu40sxZu975tgG10E/edit?usp=sharing"",""นครปฐม!J117"")+IMPORTRANGE(""https://docs.google.com/spreadsheets/d/1OYoGg4WDg5RIzwGeB10padOxJF9E_Vljuvvct_M7RDo/edit?usp=sharing"",""ปทุมธานี!J117"")+IMPORTRANGE(""https://docs.google.com/spreadsheets/d/1GbCI"&amp;"E4D4wk9FUozzqk7SxfDMxDVBwVmI5zcaVUSzKAc/edit?usp=sharing"",""ประจวบคีรีขันธ์!J117"")+IMPORTRANGE(""https://docs.google.com/spreadsheets/d/1vVf6wykvW_lAyu7Yo9L4hUTqHqIeP_qcVuxCtosJEbg/edit?usp=sharing"",""ปราจีนบุรี!J117"")+IMPORTRANGE(""https://docs.googl"&amp;"e.com/spreadsheets/d/1BIDqLLg5jk3v59G8NlR8rk5xfQDKne0sAvZHSj7TI6I/edit?usp=sharing"",""พระนครศรีอยุธยา!J117"")+IMPORTRANGE(""https://docs.google.com/spreadsheets/d/1YXvxf8Yu6_rV4hTBrwMqAcAnv6DfhUxh5emyM3CJp_w/edit?usp=sharing"",""เพชรบุรี!J117"")+IMPORTRA"&amp;"NGE(""https://docs.google.com/spreadsheets/d/19KBlQQs7uwvsao6t2n-KvW3Ax8J8uRRfZPq1zPbXgKc/edit?usp=sharing"",""ระยอง!J117"")+IMPORTRANGE(""https://docs.google.com/spreadsheets/d/1jQ6P4QcrGM89YfqcC_PxOHGCMq5ezhucwJd8ci-NHng/edit?usp=sharing"",""ราชบุรี!J11"&amp;"7"")+IMPORTRANGE(""https://docs.google.com/spreadsheets/d/1lufeA2cfFqM-elVq2hznhDzC6Pr7wkJ9ZG_sYNGCMCU/edit?usp=sharing"",""ลพบุรี!J117"")+IMPORTRANGE(""https://docs.google.com/spreadsheets/d/10oOiF7loTyfsTkbd4MpaIm0HQ9SwB7IYHdIUvt-U1Uc/edit?usp=sharing"""&amp;",""สระแก้ว!J117"")+IMPORTRANGE(""https://docs.google.com/spreadsheets/d/1xmPlrr1QbdSIKvl1dWUl9K4PjAfSL9oeMr_37QVzcxc/edit?usp=sharing"",""สระบุรี!J117"")+IMPORTRANGE(""https://docs.google.com/spreadsheets/d/1j51vR6CYVGhABJpv6tkstgok82RLpXieLzW1yOY5rHw/edi"&amp;"t?usp=sharing"",""สิงห์บุรี!J117"")+IMPORTRANGE(""https://docs.google.com/spreadsheets/d/1H1EalTWKUSzO4Z1-1CwzoDUaVffgrThEBe2sl74kKG0/edit?usp=sharing"",""สุพรรณบุรี!J117"")+IMPORTRANGE(""https://docs.google.com/spreadsheets/d/1BmIruG_sIrJLYao_Pdr7zVArWsf"&amp;"oBt2692TMi6x_854/edit?usp=sharing"",""อ่างทอง!J117"")"),0)</f>
        <v>0</v>
      </c>
      <c r="K117" s="59">
        <f ca="1">IF(I117&gt;0,J117*100/I117,0)</f>
        <v>0</v>
      </c>
      <c r="L117" s="58"/>
      <c r="M117" s="58"/>
      <c r="N117" s="58"/>
      <c r="O117" s="165"/>
      <c r="P117" s="165"/>
    </row>
    <row r="118" spans="1:16" ht="19.5" hidden="1" x14ac:dyDescent="0.3">
      <c r="A118" s="186"/>
      <c r="B118" s="187"/>
      <c r="C118" s="187"/>
      <c r="D118" s="187"/>
      <c r="E118" s="189"/>
      <c r="F118" s="189"/>
      <c r="G118" s="190"/>
      <c r="H118" s="204"/>
      <c r="I118" s="205"/>
      <c r="J118" s="205"/>
      <c r="K118" s="206"/>
      <c r="L118" s="23"/>
      <c r="M118" s="23"/>
      <c r="N118" s="23"/>
      <c r="O118" s="23"/>
      <c r="P118" s="23"/>
    </row>
    <row r="119" spans="1:16" ht="18.75" hidden="1" x14ac:dyDescent="0.25">
      <c r="A119" s="186"/>
      <c r="B119" s="187"/>
      <c r="C119" s="187"/>
      <c r="D119" s="187"/>
      <c r="E119" s="188"/>
      <c r="F119" s="189"/>
      <c r="G119" s="190"/>
      <c r="H119" s="191"/>
      <c r="I119" s="192"/>
      <c r="J119" s="192"/>
      <c r="K119" s="193"/>
      <c r="L119" s="23"/>
      <c r="M119" s="23"/>
      <c r="N119" s="23"/>
      <c r="O119" s="23"/>
      <c r="P119" s="23"/>
    </row>
    <row r="120" spans="1:16" ht="18.75" hidden="1" x14ac:dyDescent="0.25">
      <c r="A120" s="186"/>
      <c r="B120" s="187"/>
      <c r="C120" s="187"/>
      <c r="D120" s="187"/>
      <c r="E120" s="188"/>
      <c r="F120" s="189"/>
      <c r="G120" s="190"/>
      <c r="H120" s="191"/>
      <c r="I120" s="192"/>
      <c r="J120" s="192"/>
      <c r="K120" s="193"/>
      <c r="L120" s="23"/>
      <c r="M120" s="23"/>
      <c r="N120" s="23"/>
      <c r="O120" s="23"/>
      <c r="P120" s="23"/>
    </row>
    <row r="121" spans="1:16" ht="18.75" hidden="1" x14ac:dyDescent="0.25">
      <c r="A121" s="186"/>
      <c r="B121" s="187"/>
      <c r="C121" s="187"/>
      <c r="D121" s="187"/>
      <c r="E121" s="188"/>
      <c r="F121" s="189"/>
      <c r="G121" s="190"/>
      <c r="H121" s="191"/>
      <c r="I121" s="192"/>
      <c r="J121" s="192"/>
      <c r="K121" s="193"/>
      <c r="L121" s="23"/>
      <c r="M121" s="23"/>
      <c r="N121" s="23"/>
      <c r="O121" s="23"/>
      <c r="P121" s="23"/>
    </row>
    <row r="122" spans="1:16" ht="18.75" hidden="1" x14ac:dyDescent="0.25">
      <c r="A122" s="186"/>
      <c r="B122" s="187"/>
      <c r="C122" s="187"/>
      <c r="D122" s="187"/>
      <c r="E122" s="188"/>
      <c r="F122" s="189"/>
      <c r="G122" s="190"/>
      <c r="H122" s="191"/>
      <c r="I122" s="192"/>
      <c r="J122" s="192"/>
      <c r="K122" s="193"/>
      <c r="L122" s="23"/>
      <c r="M122" s="23"/>
      <c r="N122" s="23"/>
      <c r="O122" s="23"/>
      <c r="P122" s="23"/>
    </row>
    <row r="123" spans="1:16" ht="19.5" hidden="1" x14ac:dyDescent="0.3">
      <c r="A123" s="207" t="s">
        <v>49</v>
      </c>
      <c r="B123" s="17"/>
      <c r="C123" s="208"/>
      <c r="D123" s="17"/>
      <c r="E123" s="17"/>
      <c r="F123" s="17"/>
      <c r="G123" s="17"/>
      <c r="H123" s="17"/>
      <c r="I123" s="209"/>
      <c r="J123" s="209"/>
      <c r="K123" s="210"/>
      <c r="L123" s="23"/>
      <c r="M123" s="23"/>
      <c r="N123" s="23"/>
      <c r="O123" s="23"/>
      <c r="P123" s="23"/>
    </row>
    <row r="124" spans="1:16" ht="19.5" hidden="1" x14ac:dyDescent="0.3">
      <c r="A124" s="211"/>
      <c r="B124" s="212" t="s">
        <v>50</v>
      </c>
      <c r="C124" s="208"/>
      <c r="D124" s="213"/>
      <c r="E124" s="17"/>
      <c r="F124" s="17"/>
      <c r="G124" s="20"/>
      <c r="H124" s="20"/>
      <c r="I124" s="214">
        <v>0</v>
      </c>
      <c r="J124" s="214">
        <v>0</v>
      </c>
      <c r="K124" s="27">
        <v>0</v>
      </c>
      <c r="L124" s="23"/>
      <c r="M124" s="23"/>
      <c r="N124" s="23"/>
      <c r="O124" s="23"/>
      <c r="P124" s="23"/>
    </row>
    <row r="125" spans="1:16" ht="19.5" hidden="1" x14ac:dyDescent="0.3">
      <c r="A125" s="211"/>
      <c r="B125" s="17"/>
      <c r="C125" s="18" t="s">
        <v>16</v>
      </c>
      <c r="D125" s="19" t="s">
        <v>17</v>
      </c>
      <c r="E125" s="17"/>
      <c r="F125" s="17"/>
      <c r="G125" s="20"/>
      <c r="H125" s="215" t="s">
        <v>12</v>
      </c>
      <c r="I125" s="22"/>
      <c r="J125" s="22"/>
      <c r="K125" s="23"/>
      <c r="L125" s="24">
        <f t="shared" ref="L125:N125" ca="1" si="54">L126+L127</f>
        <v>0</v>
      </c>
      <c r="M125" s="24">
        <f t="shared" ca="1" si="54"/>
        <v>0</v>
      </c>
      <c r="N125" s="24">
        <f t="shared" ca="1" si="54"/>
        <v>0</v>
      </c>
      <c r="O125" s="24">
        <f t="shared" ref="O125:O133" ca="1" si="55">IF(L125&gt;0,N125*100/L125,0)</f>
        <v>0</v>
      </c>
      <c r="P125" s="24">
        <f t="shared" ref="P125:P133" ca="1" si="56">IF(M125&gt;0,N125*100/M125,0)</f>
        <v>0</v>
      </c>
    </row>
    <row r="126" spans="1:16" ht="18.75" hidden="1" x14ac:dyDescent="0.25">
      <c r="A126" s="216"/>
      <c r="B126" s="189"/>
      <c r="C126" s="189"/>
      <c r="D126" s="189"/>
      <c r="E126" s="188" t="s">
        <v>18</v>
      </c>
      <c r="F126" s="189"/>
      <c r="G126" s="190"/>
      <c r="H126" s="217" t="s">
        <v>12</v>
      </c>
      <c r="I126" s="198"/>
      <c r="J126" s="198"/>
      <c r="K126" s="200"/>
      <c r="L126" s="27">
        <f t="shared" ref="L126:N126" ca="1" si="57">L129+L132</f>
        <v>0</v>
      </c>
      <c r="M126" s="27">
        <f t="shared" ca="1" si="57"/>
        <v>0</v>
      </c>
      <c r="N126" s="27">
        <f t="shared" ca="1" si="57"/>
        <v>0</v>
      </c>
      <c r="O126" s="27">
        <f t="shared" ca="1" si="55"/>
        <v>0</v>
      </c>
      <c r="P126" s="27">
        <f t="shared" ca="1" si="56"/>
        <v>0</v>
      </c>
    </row>
    <row r="127" spans="1:16" ht="18.75" hidden="1" x14ac:dyDescent="0.25">
      <c r="A127" s="211"/>
      <c r="B127" s="17"/>
      <c r="C127" s="17"/>
      <c r="D127" s="17"/>
      <c r="E127" s="25" t="s">
        <v>19</v>
      </c>
      <c r="F127" s="17"/>
      <c r="G127" s="20"/>
      <c r="H127" s="218" t="s">
        <v>12</v>
      </c>
      <c r="I127" s="22"/>
      <c r="J127" s="22"/>
      <c r="K127" s="23"/>
      <c r="L127" s="27">
        <f t="shared" ref="L127:N127" ca="1" si="58">L130+L133</f>
        <v>0</v>
      </c>
      <c r="M127" s="27">
        <f t="shared" ca="1" si="58"/>
        <v>0</v>
      </c>
      <c r="N127" s="27">
        <f t="shared" ca="1" si="58"/>
        <v>0</v>
      </c>
      <c r="O127" s="27">
        <f t="shared" ca="1" si="55"/>
        <v>0</v>
      </c>
      <c r="P127" s="27">
        <f t="shared" ca="1" si="56"/>
        <v>0</v>
      </c>
    </row>
    <row r="128" spans="1:16" ht="18.75" hidden="1" x14ac:dyDescent="0.25">
      <c r="A128" s="211"/>
      <c r="B128" s="17"/>
      <c r="C128" s="17"/>
      <c r="D128" s="28" t="s">
        <v>20</v>
      </c>
      <c r="E128" s="17"/>
      <c r="F128" s="17"/>
      <c r="G128" s="20"/>
      <c r="H128" s="219" t="s">
        <v>12</v>
      </c>
      <c r="I128" s="22"/>
      <c r="J128" s="22"/>
      <c r="K128" s="23"/>
      <c r="L128" s="27">
        <f t="shared" ref="L128:N128" ca="1" si="59">L129+L130</f>
        <v>0</v>
      </c>
      <c r="M128" s="27">
        <f t="shared" ca="1" si="59"/>
        <v>0</v>
      </c>
      <c r="N128" s="27">
        <f t="shared" ca="1" si="59"/>
        <v>0</v>
      </c>
      <c r="O128" s="27">
        <f t="shared" ca="1" si="55"/>
        <v>0</v>
      </c>
      <c r="P128" s="27">
        <f t="shared" ca="1" si="56"/>
        <v>0</v>
      </c>
    </row>
    <row r="129" spans="1:16" ht="18.75" hidden="1" x14ac:dyDescent="0.25">
      <c r="A129" s="216"/>
      <c r="B129" s="189"/>
      <c r="C129" s="189"/>
      <c r="D129" s="189"/>
      <c r="E129" s="188" t="s">
        <v>34</v>
      </c>
      <c r="F129" s="189"/>
      <c r="G129" s="190"/>
      <c r="H129" s="220" t="s">
        <v>12</v>
      </c>
      <c r="I129" s="198"/>
      <c r="J129" s="198"/>
      <c r="K129" s="200"/>
      <c r="L129" s="27">
        <f ca="1">IFERROR(__xludf.DUMMYFUNCTION("IMPORTRANGE(""https://docs.google.com/spreadsheets/d/1-uDff_7J0KD5mKrp0Vvzr7lt3OU09vwQwhkpOPPYv2Y/edit?usp=sharing"",""งบพรบ!BG9"")"),0)</f>
        <v>0</v>
      </c>
      <c r="M129" s="27">
        <f ca="1">IFERROR(__xludf.DUMMYFUNCTION("IMPORTRANGE(""https://docs.google.com/spreadsheets/d/1-uDff_7J0KD5mKrp0Vvzr7lt3OU09vwQwhkpOPPYv2Y/edit?usp=sharing"",""งบพรบ!BL9"")"),0)</f>
        <v>0</v>
      </c>
      <c r="N129" s="27">
        <f ca="1">IFERROR(__xludf.DUMMYFUNCTION("IMPORTRANGE(""https://docs.google.com/spreadsheets/d/1-uDff_7J0KD5mKrp0Vvzr7lt3OU09vwQwhkpOPPYv2Y/edit?usp=sharing"",""งบพรบ!BN9"")"),0)</f>
        <v>0</v>
      </c>
      <c r="O129" s="27">
        <f t="shared" ca="1" si="55"/>
        <v>0</v>
      </c>
      <c r="P129" s="27">
        <f t="shared" ca="1" si="56"/>
        <v>0</v>
      </c>
    </row>
    <row r="130" spans="1:16" ht="18.75" hidden="1" x14ac:dyDescent="0.25">
      <c r="A130" s="211"/>
      <c r="B130" s="17"/>
      <c r="C130" s="17"/>
      <c r="D130" s="17"/>
      <c r="E130" s="25" t="s">
        <v>35</v>
      </c>
      <c r="F130" s="17"/>
      <c r="G130" s="20"/>
      <c r="H130" s="219" t="s">
        <v>12</v>
      </c>
      <c r="I130" s="22"/>
      <c r="J130" s="22"/>
      <c r="K130" s="23"/>
      <c r="L130" s="27">
        <f ca="1">IFERROR(__xludf.DUMMYFUNCTION("IMPORTRANGE(""https://docs.google.com/spreadsheets/d/1-uDff_7J0KD5mKrp0Vvzr7lt3OU09vwQwhkpOPPYv2Y/edit?usp=sharing"",""งบพรบ!BG8"")"),0)</f>
        <v>0</v>
      </c>
      <c r="M130" s="27">
        <f ca="1">IFERROR(__xludf.DUMMYFUNCTION("IMPORTRANGE(""https://docs.google.com/spreadsheets/d/1-uDff_7J0KD5mKrp0Vvzr7lt3OU09vwQwhkpOPPYv2Y/edit?usp=sharing"",""งบพรบ!BL8"")"),0)</f>
        <v>0</v>
      </c>
      <c r="N130" s="27">
        <f ca="1">IFERROR(__xludf.DUMMYFUNCTION("IMPORTRANGE(""https://docs.google.com/spreadsheets/d/1-uDff_7J0KD5mKrp0Vvzr7lt3OU09vwQwhkpOPPYv2Y/edit?usp=sharing"",""งบพรบ!BN8"")"),0)</f>
        <v>0</v>
      </c>
      <c r="O130" s="27">
        <f t="shared" ca="1" si="55"/>
        <v>0</v>
      </c>
      <c r="P130" s="27">
        <f t="shared" ca="1" si="56"/>
        <v>0</v>
      </c>
    </row>
    <row r="131" spans="1:16" ht="18.75" hidden="1" x14ac:dyDescent="0.25">
      <c r="A131" s="211"/>
      <c r="B131" s="17"/>
      <c r="C131" s="17"/>
      <c r="D131" s="28" t="s">
        <v>21</v>
      </c>
      <c r="E131" s="17"/>
      <c r="F131" s="17"/>
      <c r="G131" s="20"/>
      <c r="H131" s="218" t="s">
        <v>12</v>
      </c>
      <c r="I131" s="22"/>
      <c r="J131" s="22"/>
      <c r="K131" s="23"/>
      <c r="L131" s="27">
        <f t="shared" ref="L131:N131" ca="1" si="60">L132+L133</f>
        <v>0</v>
      </c>
      <c r="M131" s="27">
        <f t="shared" ca="1" si="60"/>
        <v>0</v>
      </c>
      <c r="N131" s="27">
        <f t="shared" ca="1" si="60"/>
        <v>0</v>
      </c>
      <c r="O131" s="27">
        <f t="shared" ca="1" si="55"/>
        <v>0</v>
      </c>
      <c r="P131" s="27">
        <f t="shared" ca="1" si="56"/>
        <v>0</v>
      </c>
    </row>
    <row r="132" spans="1:16" ht="18.75" hidden="1" x14ac:dyDescent="0.25">
      <c r="A132" s="216"/>
      <c r="B132" s="189"/>
      <c r="C132" s="189"/>
      <c r="D132" s="189"/>
      <c r="E132" s="188" t="s">
        <v>18</v>
      </c>
      <c r="F132" s="189"/>
      <c r="G132" s="190"/>
      <c r="H132" s="220" t="s">
        <v>12</v>
      </c>
      <c r="I132" s="198"/>
      <c r="J132" s="198"/>
      <c r="K132" s="200"/>
      <c r="L132" s="27">
        <f ca="1">IFERROR(__xludf.DUMMYFUNCTION("IMPORTRANGE(""https://docs.google.com/spreadsheets/d/1-uDff_7J0KD5mKrp0Vvzr7lt3OU09vwQwhkpOPPYv2Y/edit?usp=sharing"",""งบพรบ!BJ9"")"),0)</f>
        <v>0</v>
      </c>
      <c r="M132" s="27">
        <f ca="1">IFERROR(__xludf.DUMMYFUNCTION("IMPORTRANGE(""https://docs.google.com/spreadsheets/d/1-uDff_7J0KD5mKrp0Vvzr7lt3OU09vwQwhkpOPPYv2Y/edit?usp=sharing"",""งบพรบ!BM9"")"),0)</f>
        <v>0</v>
      </c>
      <c r="N132" s="27">
        <f ca="1">IFERROR(__xludf.DUMMYFUNCTION("IMPORTRANGE(""https://docs.google.com/spreadsheets/d/1-uDff_7J0KD5mKrp0Vvzr7lt3OU09vwQwhkpOPPYv2Y/edit?usp=sharing"",""งบพรบ!BO9"")"),0)</f>
        <v>0</v>
      </c>
      <c r="O132" s="27">
        <f t="shared" ca="1" si="55"/>
        <v>0</v>
      </c>
      <c r="P132" s="27">
        <f t="shared" ca="1" si="56"/>
        <v>0</v>
      </c>
    </row>
    <row r="133" spans="1:16" ht="18.75" hidden="1" x14ac:dyDescent="0.25">
      <c r="A133" s="211"/>
      <c r="B133" s="17"/>
      <c r="C133" s="17"/>
      <c r="D133" s="17"/>
      <c r="E133" s="25" t="s">
        <v>19</v>
      </c>
      <c r="F133" s="17"/>
      <c r="G133" s="20"/>
      <c r="H133" s="218" t="s">
        <v>12</v>
      </c>
      <c r="I133" s="22"/>
      <c r="J133" s="22"/>
      <c r="K133" s="23"/>
      <c r="L133" s="27">
        <f ca="1">IFERROR(__xludf.DUMMYFUNCTION("IMPORTRANGE(""https://docs.google.com/spreadsheets/d/1-uDff_7J0KD5mKrp0Vvzr7lt3OU09vwQwhkpOPPYv2Y/edit?usp=sharing"",""งบพรบ!BJ8"")"),0)</f>
        <v>0</v>
      </c>
      <c r="M133" s="27">
        <f ca="1">IFERROR(__xludf.DUMMYFUNCTION("IMPORTRANGE(""https://docs.google.com/spreadsheets/d/1-uDff_7J0KD5mKrp0Vvzr7lt3OU09vwQwhkpOPPYv2Y/edit?usp=sharing"",""งบพรบ!BM8"")"),0)</f>
        <v>0</v>
      </c>
      <c r="N133" s="27">
        <f ca="1">IFERROR(__xludf.DUMMYFUNCTION("IMPORTRANGE(""https://docs.google.com/spreadsheets/d/1-uDff_7J0KD5mKrp0Vvzr7lt3OU09vwQwhkpOPPYv2Y/edit?usp=sharing"",""งบพรบ!BO8"")"),0)</f>
        <v>0</v>
      </c>
      <c r="O133" s="27">
        <f t="shared" ca="1" si="55"/>
        <v>0</v>
      </c>
      <c r="P133" s="27">
        <f t="shared" ca="1" si="56"/>
        <v>0</v>
      </c>
    </row>
    <row r="134" spans="1:16" ht="19.5" x14ac:dyDescent="0.3">
      <c r="A134" s="146" t="s">
        <v>51</v>
      </c>
      <c r="B134" s="147"/>
      <c r="C134" s="221"/>
      <c r="D134" s="147"/>
      <c r="E134" s="147"/>
      <c r="F134" s="147"/>
      <c r="G134" s="147"/>
      <c r="H134" s="147"/>
      <c r="I134" s="222"/>
      <c r="J134" s="222"/>
      <c r="K134" s="223"/>
      <c r="L134" s="151"/>
      <c r="M134" s="151"/>
      <c r="N134" s="151"/>
      <c r="O134" s="151"/>
      <c r="P134" s="151"/>
    </row>
    <row r="135" spans="1:16" ht="19.5" x14ac:dyDescent="0.3">
      <c r="A135" s="152"/>
      <c r="B135" s="153" t="s">
        <v>52</v>
      </c>
      <c r="C135" s="224"/>
      <c r="D135" s="154"/>
      <c r="E135" s="41"/>
      <c r="F135" s="41"/>
      <c r="G135" s="41"/>
      <c r="H135" s="41"/>
      <c r="I135" s="46"/>
      <c r="J135" s="46"/>
      <c r="K135" s="47"/>
      <c r="L135" s="47"/>
      <c r="M135" s="47"/>
      <c r="N135" s="47"/>
      <c r="O135" s="47"/>
      <c r="P135" s="47"/>
    </row>
    <row r="136" spans="1:16" ht="19.5" x14ac:dyDescent="0.3">
      <c r="A136" s="152"/>
      <c r="B136" s="41"/>
      <c r="C136" s="225" t="s">
        <v>53</v>
      </c>
      <c r="D136" s="154"/>
      <c r="E136" s="41"/>
      <c r="F136" s="41"/>
      <c r="G136" s="44"/>
      <c r="H136" s="155" t="s">
        <v>54</v>
      </c>
      <c r="I136" s="156">
        <f t="shared" ref="I136:J136" ca="1" si="61">I154</f>
        <v>5</v>
      </c>
      <c r="J136" s="156">
        <f t="shared" ca="1" si="61"/>
        <v>0</v>
      </c>
      <c r="K136" s="48">
        <f t="shared" ref="K136:K138" ca="1" si="62">IF(I136&gt;0,J136*100/I136,0)</f>
        <v>0</v>
      </c>
      <c r="L136" s="47"/>
      <c r="M136" s="47"/>
      <c r="N136" s="47"/>
      <c r="O136" s="47"/>
      <c r="P136" s="47"/>
    </row>
    <row r="137" spans="1:16" ht="19.5" x14ac:dyDescent="0.3">
      <c r="A137" s="152"/>
      <c r="B137" s="41"/>
      <c r="C137" s="225" t="s">
        <v>55</v>
      </c>
      <c r="D137" s="154"/>
      <c r="E137" s="41"/>
      <c r="F137" s="41"/>
      <c r="G137" s="44"/>
      <c r="H137" s="155" t="s">
        <v>33</v>
      </c>
      <c r="I137" s="156">
        <f t="shared" ref="I137:J137" ca="1" si="63">I152</f>
        <v>180</v>
      </c>
      <c r="J137" s="156">
        <f t="shared" ca="1" si="63"/>
        <v>0</v>
      </c>
      <c r="K137" s="48">
        <f t="shared" ca="1" si="62"/>
        <v>0</v>
      </c>
      <c r="L137" s="47"/>
      <c r="M137" s="47"/>
      <c r="N137" s="47"/>
      <c r="O137" s="47"/>
      <c r="P137" s="47"/>
    </row>
    <row r="138" spans="1:16" ht="19.5" x14ac:dyDescent="0.3">
      <c r="A138" s="152"/>
      <c r="B138" s="41"/>
      <c r="C138" s="225"/>
      <c r="D138" s="154"/>
      <c r="E138" s="41"/>
      <c r="F138" s="41"/>
      <c r="G138" s="44"/>
      <c r="H138" s="226" t="s">
        <v>56</v>
      </c>
      <c r="I138" s="156">
        <f t="shared" ref="I138:J138" ca="1" si="64">I153</f>
        <v>18</v>
      </c>
      <c r="J138" s="156">
        <f t="shared" ca="1" si="64"/>
        <v>0</v>
      </c>
      <c r="K138" s="48">
        <f t="shared" ca="1" si="62"/>
        <v>0</v>
      </c>
      <c r="L138" s="47"/>
      <c r="M138" s="47"/>
      <c r="N138" s="47"/>
      <c r="O138" s="47"/>
      <c r="P138" s="47"/>
    </row>
    <row r="139" spans="1:16" ht="19.5" x14ac:dyDescent="0.3">
      <c r="A139" s="157"/>
      <c r="B139" s="53"/>
      <c r="C139" s="158" t="s">
        <v>16</v>
      </c>
      <c r="D139" s="159" t="s">
        <v>17</v>
      </c>
      <c r="E139" s="53"/>
      <c r="F139" s="53"/>
      <c r="G139" s="55"/>
      <c r="H139" s="160" t="s">
        <v>12</v>
      </c>
      <c r="I139" s="57"/>
      <c r="J139" s="57"/>
      <c r="K139" s="58"/>
      <c r="L139" s="161">
        <f t="shared" ref="L139:N139" ca="1" si="65">L140+L141</f>
        <v>791100</v>
      </c>
      <c r="M139" s="161">
        <f t="shared" ca="1" si="65"/>
        <v>624900</v>
      </c>
      <c r="N139" s="161">
        <f t="shared" ca="1" si="65"/>
        <v>83208</v>
      </c>
      <c r="O139" s="161">
        <f t="shared" ref="O139:O147" ca="1" si="66">IF(L139&gt;0,N139*100/L139,0)</f>
        <v>10.518012893439515</v>
      </c>
      <c r="P139" s="161">
        <f t="shared" ref="P139:P147" ca="1" si="67">IF(M139&gt;0,N139*100/M139,0)</f>
        <v>13.315410465674509</v>
      </c>
    </row>
    <row r="140" spans="1:16" ht="18.75" x14ac:dyDescent="0.25">
      <c r="A140" s="157"/>
      <c r="B140" s="53"/>
      <c r="C140" s="53"/>
      <c r="D140" s="53"/>
      <c r="E140" s="60" t="s">
        <v>18</v>
      </c>
      <c r="F140" s="53"/>
      <c r="G140" s="55"/>
      <c r="H140" s="162" t="s">
        <v>12</v>
      </c>
      <c r="I140" s="57"/>
      <c r="J140" s="57"/>
      <c r="K140" s="58"/>
      <c r="L140" s="59">
        <f t="shared" ref="L140:N140" ca="1" si="68">L143+L146</f>
        <v>0</v>
      </c>
      <c r="M140" s="59">
        <f t="shared" ca="1" si="68"/>
        <v>0</v>
      </c>
      <c r="N140" s="59">
        <f t="shared" ca="1" si="68"/>
        <v>0</v>
      </c>
      <c r="O140" s="59">
        <f t="shared" ca="1" si="66"/>
        <v>0</v>
      </c>
      <c r="P140" s="59">
        <f t="shared" ca="1" si="67"/>
        <v>0</v>
      </c>
    </row>
    <row r="141" spans="1:16" ht="18.75" x14ac:dyDescent="0.25">
      <c r="A141" s="157"/>
      <c r="B141" s="53"/>
      <c r="C141" s="53"/>
      <c r="D141" s="53"/>
      <c r="E141" s="60" t="s">
        <v>19</v>
      </c>
      <c r="F141" s="53"/>
      <c r="G141" s="55"/>
      <c r="H141" s="162" t="s">
        <v>12</v>
      </c>
      <c r="I141" s="57"/>
      <c r="J141" s="57"/>
      <c r="K141" s="58"/>
      <c r="L141" s="59">
        <f t="shared" ref="L141:N141" ca="1" si="69">L144+L147</f>
        <v>791100</v>
      </c>
      <c r="M141" s="59">
        <f t="shared" ca="1" si="69"/>
        <v>624900</v>
      </c>
      <c r="N141" s="59">
        <f t="shared" ca="1" si="69"/>
        <v>83208</v>
      </c>
      <c r="O141" s="59">
        <f t="shared" ca="1" si="66"/>
        <v>10.518012893439515</v>
      </c>
      <c r="P141" s="59">
        <f t="shared" ca="1" si="67"/>
        <v>13.315410465674509</v>
      </c>
    </row>
    <row r="142" spans="1:16" ht="18.75" x14ac:dyDescent="0.25">
      <c r="A142" s="157"/>
      <c r="B142" s="53"/>
      <c r="C142" s="53"/>
      <c r="D142" s="54" t="s">
        <v>20</v>
      </c>
      <c r="E142" s="53"/>
      <c r="F142" s="53"/>
      <c r="G142" s="55"/>
      <c r="H142" s="163" t="s">
        <v>12</v>
      </c>
      <c r="I142" s="164"/>
      <c r="J142" s="164"/>
      <c r="K142" s="165"/>
      <c r="L142" s="59">
        <f t="shared" ref="L142:N142" ca="1" si="70">L143+L144</f>
        <v>791100</v>
      </c>
      <c r="M142" s="59">
        <f t="shared" ca="1" si="70"/>
        <v>624900</v>
      </c>
      <c r="N142" s="59">
        <f t="shared" ca="1" si="70"/>
        <v>83208</v>
      </c>
      <c r="O142" s="59">
        <f t="shared" ca="1" si="66"/>
        <v>10.518012893439515</v>
      </c>
      <c r="P142" s="59">
        <f t="shared" ca="1" si="67"/>
        <v>13.315410465674509</v>
      </c>
    </row>
    <row r="143" spans="1:16" ht="18.75" x14ac:dyDescent="0.25">
      <c r="A143" s="157"/>
      <c r="B143" s="53"/>
      <c r="C143" s="53"/>
      <c r="D143" s="53"/>
      <c r="E143" s="60" t="s">
        <v>34</v>
      </c>
      <c r="F143" s="53"/>
      <c r="G143" s="55"/>
      <c r="H143" s="163" t="s">
        <v>12</v>
      </c>
      <c r="I143" s="164"/>
      <c r="J143" s="164"/>
      <c r="K143" s="165"/>
      <c r="L143" s="59">
        <f ca="1">IFERROR(__xludf.DUMMYFUNCTION("IMPORTRANGE(""https://docs.google.com/spreadsheets/d/13wPX838HrBrQMCywv1BsuMkt4PEKTChp52zj44s2izQ/edit?usp=sharing"",""กาญจนบุรี!L143"")+IMPORTRANGE(""https://docs.google.com/spreadsheets/d/1ddFKvqj1W1NEiWytbGlB1zMx_ykJDVtmfEQ-6-lIUBA/edit?usp=sharing"","&amp;"""จันทบุรี!L143"")+IMPORTRANGE(""https://docs.google.com/spreadsheets/d/1T1PQvRODqOBZk8BRht_U031fIS1beLA0Ub2CEytj2q0/edit?usp=sharing"",""ฉะเชิงเทรา!L143"")+IMPORTRANGE(""https://docs.google.com/spreadsheets/d/11tr1B-Bhyr79v2bkwVh5h_fR-PStkgjlZtkrZpYurG0/"&amp;"edit?usp=sharing"",""ชลบุรี!L143"")+IMPORTRANGE(""https://docs.google.com/spreadsheets/d/1hh-FVnSX0vozXhGluamEcS54Dw9_zqW0N7qJUWgJ0Sw/edit?usp=sharing"",""ชัยนาท!L143"")+IMPORTRANGE(""https://docs.google.com/spreadsheets/d/1jkqa6GXxSacMcY1eN8AHjMNJ_7dDXMJ"&amp;"VRLDlaFSOdPM/edit?usp=sharing"",""ตราด!L143"")+IMPORTRANGE(""https://docs.google.com/spreadsheets/d/18hSgUJ3VwClqi_qtULmmW3cLr0oe3OKaSYoKzdpTsYQ/edit?usp=sharing"",""นครนายก!L143"")+IMPORTRANGE(""https://docs.google.com/spreadsheets/d/1YTZo6WM2dQ6Ix6FSdnL"&amp;"5P7uVnVKu40sxZu975tgG10E/edit?usp=sharing"",""นครปฐม!L143"")+IMPORTRANGE(""https://docs.google.com/spreadsheets/d/1OYoGg4WDg5RIzwGeB10padOxJF9E_Vljuvvct_M7RDo/edit?usp=sharing"",""ปทุมธานี!L143"")+IMPORTRANGE(""https://docs.google.com/spreadsheets/d/1GbCI"&amp;"E4D4wk9FUozzqk7SxfDMxDVBwVmI5zcaVUSzKAc/edit?usp=sharing"",""ประจวบคีรีขันธ์!L143"")+IMPORTRANGE(""https://docs.google.com/spreadsheets/d/1vVf6wykvW_lAyu7Yo9L4hUTqHqIeP_qcVuxCtosJEbg/edit?usp=sharing"",""ปราจีนบุรี!L143"")+IMPORTRANGE(""https://docs.googl"&amp;"e.com/spreadsheets/d/1BIDqLLg5jk3v59G8NlR8rk5xfQDKne0sAvZHSj7TI6I/edit?usp=sharing"",""พระนครศรีอยุธยา!L143"")+IMPORTRANGE(""https://docs.google.com/spreadsheets/d/1YXvxf8Yu6_rV4hTBrwMqAcAnv6DfhUxh5emyM3CJp_w/edit?usp=sharing"",""เพชรบุรี!L143"")+IMPORTRA"&amp;"NGE(""https://docs.google.com/spreadsheets/d/19KBlQQs7uwvsao6t2n-KvW3Ax8J8uRRfZPq1zPbXgKc/edit?usp=sharing"",""ระยอง!L143"")+IMPORTRANGE(""https://docs.google.com/spreadsheets/d/1jQ6P4QcrGM89YfqcC_PxOHGCMq5ezhucwJd8ci-NHng/edit?usp=sharing"",""ราชบุรี!L14"&amp;"3"")+IMPORTRANGE(""https://docs.google.com/spreadsheets/d/1lufeA2cfFqM-elVq2hznhDzC6Pr7wkJ9ZG_sYNGCMCU/edit?usp=sharing"",""ลพบุรี!L143"")+IMPORTRANGE(""https://docs.google.com/spreadsheets/d/10oOiF7loTyfsTkbd4MpaIm0HQ9SwB7IYHdIUvt-U1Uc/edit?usp=sharing"""&amp;",""สระแก้ว!L143"")+IMPORTRANGE(""https://docs.google.com/spreadsheets/d/1xmPlrr1QbdSIKvl1dWUl9K4PjAfSL9oeMr_37QVzcxc/edit?usp=sharing"",""สระบุรี!L143"")+IMPORTRANGE(""https://docs.google.com/spreadsheets/d/1j51vR6CYVGhABJpv6tkstgok82RLpXieLzW1yOY5rHw/edi"&amp;"t?usp=sharing"",""สิงห์บุรี!L143"")+IMPORTRANGE(""https://docs.google.com/spreadsheets/d/1H1EalTWKUSzO4Z1-1CwzoDUaVffgrThEBe2sl74kKG0/edit?usp=sharing"",""สุพรรณบุรี!L143"")+IMPORTRANGE(""https://docs.google.com/spreadsheets/d/1BmIruG_sIrJLYao_Pdr7zVArWsf"&amp;"oBt2692TMi6x_854/edit?usp=sharing"",""อ่างทอง!L143"")"),0)</f>
        <v>0</v>
      </c>
      <c r="M143" s="59">
        <f ca="1">IFERROR(__xludf.DUMMYFUNCTION("IMPORTRANGE(""https://docs.google.com/spreadsheets/d/13wPX838HrBrQMCywv1BsuMkt4PEKTChp52zj44s2izQ/edit?usp=sharing"",""กาญจนบุรี!M143"")+IMPORTRANGE(""https://docs.google.com/spreadsheets/d/1ddFKvqj1W1NEiWytbGlB1zMx_ykJDVtmfEQ-6-lIUBA/edit?usp=sharing"","&amp;"""จันทบุรี!M143"")+IMPORTRANGE(""https://docs.google.com/spreadsheets/d/1T1PQvRODqOBZk8BRht_U031fIS1beLA0Ub2CEytj2q0/edit?usp=sharing"",""ฉะเชิงเทรา!M143"")+IMPORTRANGE(""https://docs.google.com/spreadsheets/d/11tr1B-Bhyr79v2bkwVh5h_fR-PStkgjlZtkrZpYurG0/"&amp;"edit?usp=sharing"",""ชลบุรี!M143"")+IMPORTRANGE(""https://docs.google.com/spreadsheets/d/1hh-FVnSX0vozXhGluamEcS54Dw9_zqW0N7qJUWgJ0Sw/edit?usp=sharing"",""ชัยนาท!M143"")+IMPORTRANGE(""https://docs.google.com/spreadsheets/d/1jkqa6GXxSacMcY1eN8AHjMNJ_7dDXMJ"&amp;"VRLDlaFSOdPM/edit?usp=sharing"",""ตราด!M143"")+IMPORTRANGE(""https://docs.google.com/spreadsheets/d/18hSgUJ3VwClqi_qtULmmW3cLr0oe3OKaSYoKzdpTsYQ/edit?usp=sharing"",""นครนายก!M143"")+IMPORTRANGE(""https://docs.google.com/spreadsheets/d/1YTZo6WM2dQ6Ix6FSdnL"&amp;"5P7uVnVKu40sxZu975tgG10E/edit?usp=sharing"",""นครปฐม!M143"")+IMPORTRANGE(""https://docs.google.com/spreadsheets/d/1OYoGg4WDg5RIzwGeB10padOxJF9E_Vljuvvct_M7RDo/edit?usp=sharing"",""ปทุมธานี!M143"")+IMPORTRANGE(""https://docs.google.com/spreadsheets/d/1GbCI"&amp;"E4D4wk9FUozzqk7SxfDMxDVBwVmI5zcaVUSzKAc/edit?usp=sharing"",""ประจวบคีรีขันธ์!M143"")+IMPORTRANGE(""https://docs.google.com/spreadsheets/d/1vVf6wykvW_lAyu7Yo9L4hUTqHqIeP_qcVuxCtosJEbg/edit?usp=sharing"",""ปราจีนบุรี!M143"")+IMPORTRANGE(""https://docs.googl"&amp;"e.com/spreadsheets/d/1BIDqLLg5jk3v59G8NlR8rk5xfQDKne0sAvZHSj7TI6I/edit?usp=sharing"",""พระนครศรีอยุธยา!M143"")+IMPORTRANGE(""https://docs.google.com/spreadsheets/d/1YXvxf8Yu6_rV4hTBrwMqAcAnv6DfhUxh5emyM3CJp_w/edit?usp=sharing"",""เพชรบุรี!M143"")+IMPORTRA"&amp;"NGE(""https://docs.google.com/spreadsheets/d/19KBlQQs7uwvsao6t2n-KvW3Ax8J8uRRfZPq1zPbXgKc/edit?usp=sharing"",""ระยอง!M143"")+IMPORTRANGE(""https://docs.google.com/spreadsheets/d/1jQ6P4QcrGM89YfqcC_PxOHGCMq5ezhucwJd8ci-NHng/edit?usp=sharing"",""ราชบุรี!M14"&amp;"3"")+IMPORTRANGE(""https://docs.google.com/spreadsheets/d/1lufeA2cfFqM-elVq2hznhDzC6Pr7wkJ9ZG_sYNGCMCU/edit?usp=sharing"",""ลพบุรี!M143"")+IMPORTRANGE(""https://docs.google.com/spreadsheets/d/10oOiF7loTyfsTkbd4MpaIm0HQ9SwB7IYHdIUvt-U1Uc/edit?usp=sharing"""&amp;",""สระแก้ว!M143"")+IMPORTRANGE(""https://docs.google.com/spreadsheets/d/1xmPlrr1QbdSIKvl1dWUl9K4PjAfSL9oeMr_37QVzcxc/edit?usp=sharing"",""สระบุรี!M143"")+IMPORTRANGE(""https://docs.google.com/spreadsheets/d/1j51vR6CYVGhABJpv6tkstgok82RLpXieLzW1yOY5rHw/edi"&amp;"t?usp=sharing"",""สิงห์บุรี!M143"")+IMPORTRANGE(""https://docs.google.com/spreadsheets/d/1H1EalTWKUSzO4Z1-1CwzoDUaVffgrThEBe2sl74kKG0/edit?usp=sharing"",""สุพรรณบุรี!M143"")+IMPORTRANGE(""https://docs.google.com/spreadsheets/d/1BmIruG_sIrJLYao_Pdr7zVArWsf"&amp;"oBt2692TMi6x_854/edit?usp=sharing"",""อ่างทอง!M143"")"),0)</f>
        <v>0</v>
      </c>
      <c r="N143" s="59">
        <f ca="1">IFERROR(__xludf.DUMMYFUNCTION("IMPORTRANGE(""https://docs.google.com/spreadsheets/d/13wPX838HrBrQMCywv1BsuMkt4PEKTChp52zj44s2izQ/edit?usp=sharing"",""กาญจนบุรี!N143"")+IMPORTRANGE(""https://docs.google.com/spreadsheets/d/1ddFKvqj1W1NEiWytbGlB1zMx_ykJDVtmfEQ-6-lIUBA/edit?usp=sharing"","&amp;"""จันทบุรี!N143"")+IMPORTRANGE(""https://docs.google.com/spreadsheets/d/1T1PQvRODqOBZk8BRht_U031fIS1beLA0Ub2CEytj2q0/edit?usp=sharing"",""ฉะเชิงเทรา!N143"")+IMPORTRANGE(""https://docs.google.com/spreadsheets/d/11tr1B-Bhyr79v2bkwVh5h_fR-PStkgjlZtkrZpYurG0/"&amp;"edit?usp=sharing"",""ชลบุรี!N143"")+IMPORTRANGE(""https://docs.google.com/spreadsheets/d/1hh-FVnSX0vozXhGluamEcS54Dw9_zqW0N7qJUWgJ0Sw/edit?usp=sharing"",""ชัยนาท!N143"")+IMPORTRANGE(""https://docs.google.com/spreadsheets/d/1jkqa6GXxSacMcY1eN8AHjMNJ_7dDXMJ"&amp;"VRLDlaFSOdPM/edit?usp=sharing"",""ตราด!N143"")+IMPORTRANGE(""https://docs.google.com/spreadsheets/d/18hSgUJ3VwClqi_qtULmmW3cLr0oe3OKaSYoKzdpTsYQ/edit?usp=sharing"",""นครนายก!N143"")+IMPORTRANGE(""https://docs.google.com/spreadsheets/d/1YTZo6WM2dQ6Ix6FSdnL"&amp;"5P7uVnVKu40sxZu975tgG10E/edit?usp=sharing"",""นครปฐม!N143"")+IMPORTRANGE(""https://docs.google.com/spreadsheets/d/1OYoGg4WDg5RIzwGeB10padOxJF9E_Vljuvvct_M7RDo/edit?usp=sharing"",""ปทุมธานี!N143"")+IMPORTRANGE(""https://docs.google.com/spreadsheets/d/1GbCI"&amp;"E4D4wk9FUozzqk7SxfDMxDVBwVmI5zcaVUSzKAc/edit?usp=sharing"",""ประจวบคีรีขันธ์!N143"")+IMPORTRANGE(""https://docs.google.com/spreadsheets/d/1vVf6wykvW_lAyu7Yo9L4hUTqHqIeP_qcVuxCtosJEbg/edit?usp=sharing"",""ปราจีนบุรี!N143"")+IMPORTRANGE(""https://docs.googl"&amp;"e.com/spreadsheets/d/1BIDqLLg5jk3v59G8NlR8rk5xfQDKne0sAvZHSj7TI6I/edit?usp=sharing"",""พระนครศรีอยุธยา!N143"")+IMPORTRANGE(""https://docs.google.com/spreadsheets/d/1YXvxf8Yu6_rV4hTBrwMqAcAnv6DfhUxh5emyM3CJp_w/edit?usp=sharing"",""เพชรบุรี!N143"")+IMPORTRA"&amp;"NGE(""https://docs.google.com/spreadsheets/d/19KBlQQs7uwvsao6t2n-KvW3Ax8J8uRRfZPq1zPbXgKc/edit?usp=sharing"",""ระยอง!N143"")+IMPORTRANGE(""https://docs.google.com/spreadsheets/d/1jQ6P4QcrGM89YfqcC_PxOHGCMq5ezhucwJd8ci-NHng/edit?usp=sharing"",""ราชบุรี!N14"&amp;"3"")+IMPORTRANGE(""https://docs.google.com/spreadsheets/d/1lufeA2cfFqM-elVq2hznhDzC6Pr7wkJ9ZG_sYNGCMCU/edit?usp=sharing"",""ลพบุรี!N143"")+IMPORTRANGE(""https://docs.google.com/spreadsheets/d/10oOiF7loTyfsTkbd4MpaIm0HQ9SwB7IYHdIUvt-U1Uc/edit?usp=sharing"""&amp;",""สระแก้ว!N143"")+IMPORTRANGE(""https://docs.google.com/spreadsheets/d/1xmPlrr1QbdSIKvl1dWUl9K4PjAfSL9oeMr_37QVzcxc/edit?usp=sharing"",""สระบุรี!N143"")+IMPORTRANGE(""https://docs.google.com/spreadsheets/d/1j51vR6CYVGhABJpv6tkstgok82RLpXieLzW1yOY5rHw/edi"&amp;"t?usp=sharing"",""สิงห์บุรี!N143"")+IMPORTRANGE(""https://docs.google.com/spreadsheets/d/1H1EalTWKUSzO4Z1-1CwzoDUaVffgrThEBe2sl74kKG0/edit?usp=sharing"",""สุพรรณบุรี!N143"")+IMPORTRANGE(""https://docs.google.com/spreadsheets/d/1BmIruG_sIrJLYao_Pdr7zVArWsf"&amp;"oBt2692TMi6x_854/edit?usp=sharing"",""อ่างทอง!N143"")"),0)</f>
        <v>0</v>
      </c>
      <c r="O143" s="59">
        <f t="shared" ca="1" si="66"/>
        <v>0</v>
      </c>
      <c r="P143" s="59">
        <f t="shared" ca="1" si="67"/>
        <v>0</v>
      </c>
    </row>
    <row r="144" spans="1:16" ht="18.75" x14ac:dyDescent="0.25">
      <c r="A144" s="157"/>
      <c r="B144" s="53"/>
      <c r="C144" s="53"/>
      <c r="D144" s="53"/>
      <c r="E144" s="60" t="s">
        <v>35</v>
      </c>
      <c r="F144" s="53"/>
      <c r="G144" s="55"/>
      <c r="H144" s="163" t="s">
        <v>12</v>
      </c>
      <c r="I144" s="164"/>
      <c r="J144" s="164"/>
      <c r="K144" s="165"/>
      <c r="L144" s="59">
        <f ca="1">IFERROR(__xludf.DUMMYFUNCTION("IMPORTRANGE(""https://docs.google.com/spreadsheets/d/13wPX838HrBrQMCywv1BsuMkt4PEKTChp52zj44s2izQ/edit?usp=sharing"",""กาญจนบุรี!L144"")+IMPORTRANGE(""https://docs.google.com/spreadsheets/d/1ddFKvqj1W1NEiWytbGlB1zMx_ykJDVtmfEQ-6-lIUBA/edit?usp=sharing"","&amp;"""จันทบุรี!L144"")+IMPORTRANGE(""https://docs.google.com/spreadsheets/d/1T1PQvRODqOBZk8BRht_U031fIS1beLA0Ub2CEytj2q0/edit?usp=sharing"",""ฉะเชิงเทรา!L144"")+IMPORTRANGE(""https://docs.google.com/spreadsheets/d/11tr1B-Bhyr79v2bkwVh5h_fR-PStkgjlZtkrZpYurG0/"&amp;"edit?usp=sharing"",""ชลบุรี!L144"")+IMPORTRANGE(""https://docs.google.com/spreadsheets/d/1hh-FVnSX0vozXhGluamEcS54Dw9_zqW0N7qJUWgJ0Sw/edit?usp=sharing"",""ชัยนาท!L144"")+IMPORTRANGE(""https://docs.google.com/spreadsheets/d/1jkqa6GXxSacMcY1eN8AHjMNJ_7dDXMJ"&amp;"VRLDlaFSOdPM/edit?usp=sharing"",""ตราด!L144"")+IMPORTRANGE(""https://docs.google.com/spreadsheets/d/18hSgUJ3VwClqi_qtULmmW3cLr0oe3OKaSYoKzdpTsYQ/edit?usp=sharing"",""นครนายก!L144"")+IMPORTRANGE(""https://docs.google.com/spreadsheets/d/1YTZo6WM2dQ6Ix6FSdnL"&amp;"5P7uVnVKu40sxZu975tgG10E/edit?usp=sharing"",""นครปฐม!L144"")+IMPORTRANGE(""https://docs.google.com/spreadsheets/d/1OYoGg4WDg5RIzwGeB10padOxJF9E_Vljuvvct_M7RDo/edit?usp=sharing"",""ปทุมธานี!L144"")+IMPORTRANGE(""https://docs.google.com/spreadsheets/d/1GbCI"&amp;"E4D4wk9FUozzqk7SxfDMxDVBwVmI5zcaVUSzKAc/edit?usp=sharing"",""ประจวบคีรีขันธ์!L144"")+IMPORTRANGE(""https://docs.google.com/spreadsheets/d/1vVf6wykvW_lAyu7Yo9L4hUTqHqIeP_qcVuxCtosJEbg/edit?usp=sharing"",""ปราจีนบุรี!L144"")+IMPORTRANGE(""https://docs.googl"&amp;"e.com/spreadsheets/d/1BIDqLLg5jk3v59G8NlR8rk5xfQDKne0sAvZHSj7TI6I/edit?usp=sharing"",""พระนครศรีอยุธยา!L144"")+IMPORTRANGE(""https://docs.google.com/spreadsheets/d/1YXvxf8Yu6_rV4hTBrwMqAcAnv6DfhUxh5emyM3CJp_w/edit?usp=sharing"",""เพชรบุรี!L144"")+IMPORTRA"&amp;"NGE(""https://docs.google.com/spreadsheets/d/19KBlQQs7uwvsao6t2n-KvW3Ax8J8uRRfZPq1zPbXgKc/edit?usp=sharing"",""ระยอง!L144"")+IMPORTRANGE(""https://docs.google.com/spreadsheets/d/1jQ6P4QcrGM89YfqcC_PxOHGCMq5ezhucwJd8ci-NHng/edit?usp=sharing"",""ราชบุรี!L14"&amp;"4"")+IMPORTRANGE(""https://docs.google.com/spreadsheets/d/1lufeA2cfFqM-elVq2hznhDzC6Pr7wkJ9ZG_sYNGCMCU/edit?usp=sharing"",""ลพบุรี!L144"")+IMPORTRANGE(""https://docs.google.com/spreadsheets/d/10oOiF7loTyfsTkbd4MpaIm0HQ9SwB7IYHdIUvt-U1Uc/edit?usp=sharing"""&amp;",""สระแก้ว!L144"")+IMPORTRANGE(""https://docs.google.com/spreadsheets/d/1xmPlrr1QbdSIKvl1dWUl9K4PjAfSL9oeMr_37QVzcxc/edit?usp=sharing"",""สระบุรี!L144"")+IMPORTRANGE(""https://docs.google.com/spreadsheets/d/1j51vR6CYVGhABJpv6tkstgok82RLpXieLzW1yOY5rHw/edi"&amp;"t?usp=sharing"",""สิงห์บุรี!L144"")+IMPORTRANGE(""https://docs.google.com/spreadsheets/d/1H1EalTWKUSzO4Z1-1CwzoDUaVffgrThEBe2sl74kKG0/edit?usp=sharing"",""สุพรรณบุรี!L144"")+IMPORTRANGE(""https://docs.google.com/spreadsheets/d/1BmIruG_sIrJLYao_Pdr7zVArWsf"&amp;"oBt2692TMi6x_854/edit?usp=sharing"",""อ่างทอง!L144"")"),791100)</f>
        <v>791100</v>
      </c>
      <c r="M144" s="59">
        <f ca="1">IFERROR(__xludf.DUMMYFUNCTION("IMPORTRANGE(""https://docs.google.com/spreadsheets/d/13wPX838HrBrQMCywv1BsuMkt4PEKTChp52zj44s2izQ/edit?usp=sharing"",""กาญจนบุรี!M144"")+IMPORTRANGE(""https://docs.google.com/spreadsheets/d/1ddFKvqj1W1NEiWytbGlB1zMx_ykJDVtmfEQ-6-lIUBA/edit?usp=sharing"","&amp;"""จันทบุรี!M144"")+IMPORTRANGE(""https://docs.google.com/spreadsheets/d/1T1PQvRODqOBZk8BRht_U031fIS1beLA0Ub2CEytj2q0/edit?usp=sharing"",""ฉะเชิงเทรา!M144"")+IMPORTRANGE(""https://docs.google.com/spreadsheets/d/11tr1B-Bhyr79v2bkwVh5h_fR-PStkgjlZtkrZpYurG0/"&amp;"edit?usp=sharing"",""ชลบุรี!M144"")+IMPORTRANGE(""https://docs.google.com/spreadsheets/d/1hh-FVnSX0vozXhGluamEcS54Dw9_zqW0N7qJUWgJ0Sw/edit?usp=sharing"",""ชัยนาท!M144"")+IMPORTRANGE(""https://docs.google.com/spreadsheets/d/1jkqa6GXxSacMcY1eN8AHjMNJ_7dDXMJ"&amp;"VRLDlaFSOdPM/edit?usp=sharing"",""ตราด!M144"")+IMPORTRANGE(""https://docs.google.com/spreadsheets/d/18hSgUJ3VwClqi_qtULmmW3cLr0oe3OKaSYoKzdpTsYQ/edit?usp=sharing"",""นครนายก!M144"")+IMPORTRANGE(""https://docs.google.com/spreadsheets/d/1YTZo6WM2dQ6Ix6FSdnL"&amp;"5P7uVnVKu40sxZu975tgG10E/edit?usp=sharing"",""นครปฐม!M144"")+IMPORTRANGE(""https://docs.google.com/spreadsheets/d/1OYoGg4WDg5RIzwGeB10padOxJF9E_Vljuvvct_M7RDo/edit?usp=sharing"",""ปทุมธานี!M144"")+IMPORTRANGE(""https://docs.google.com/spreadsheets/d/1GbCI"&amp;"E4D4wk9FUozzqk7SxfDMxDVBwVmI5zcaVUSzKAc/edit?usp=sharing"",""ประจวบคีรีขันธ์!M144"")+IMPORTRANGE(""https://docs.google.com/spreadsheets/d/1vVf6wykvW_lAyu7Yo9L4hUTqHqIeP_qcVuxCtosJEbg/edit?usp=sharing"",""ปราจีนบุรี!M144"")+IMPORTRANGE(""https://docs.googl"&amp;"e.com/spreadsheets/d/1BIDqLLg5jk3v59G8NlR8rk5xfQDKne0sAvZHSj7TI6I/edit?usp=sharing"",""พระนครศรีอยุธยา!M144"")+IMPORTRANGE(""https://docs.google.com/spreadsheets/d/1YXvxf8Yu6_rV4hTBrwMqAcAnv6DfhUxh5emyM3CJp_w/edit?usp=sharing"",""เพชรบุรี!M144"")+IMPORTRA"&amp;"NGE(""https://docs.google.com/spreadsheets/d/19KBlQQs7uwvsao6t2n-KvW3Ax8J8uRRfZPq1zPbXgKc/edit?usp=sharing"",""ระยอง!M144"")+IMPORTRANGE(""https://docs.google.com/spreadsheets/d/1jQ6P4QcrGM89YfqcC_PxOHGCMq5ezhucwJd8ci-NHng/edit?usp=sharing"",""ราชบุรี!M14"&amp;"4"")+IMPORTRANGE(""https://docs.google.com/spreadsheets/d/1lufeA2cfFqM-elVq2hznhDzC6Pr7wkJ9ZG_sYNGCMCU/edit?usp=sharing"",""ลพบุรี!M144"")+IMPORTRANGE(""https://docs.google.com/spreadsheets/d/10oOiF7loTyfsTkbd4MpaIm0HQ9SwB7IYHdIUvt-U1Uc/edit?usp=sharing"""&amp;",""สระแก้ว!M144"")+IMPORTRANGE(""https://docs.google.com/spreadsheets/d/1xmPlrr1QbdSIKvl1dWUl9K4PjAfSL9oeMr_37QVzcxc/edit?usp=sharing"",""สระบุรี!M144"")+IMPORTRANGE(""https://docs.google.com/spreadsheets/d/1j51vR6CYVGhABJpv6tkstgok82RLpXieLzW1yOY5rHw/edi"&amp;"t?usp=sharing"",""สิงห์บุรี!M144"")+IMPORTRANGE(""https://docs.google.com/spreadsheets/d/1H1EalTWKUSzO4Z1-1CwzoDUaVffgrThEBe2sl74kKG0/edit?usp=sharing"",""สุพรรณบุรี!M144"")+IMPORTRANGE(""https://docs.google.com/spreadsheets/d/1BmIruG_sIrJLYao_Pdr7zVArWsf"&amp;"oBt2692TMi6x_854/edit?usp=sharing"",""อ่างทอง!M144"")"),624900)</f>
        <v>624900</v>
      </c>
      <c r="N144" s="59">
        <f ca="1">IFERROR(__xludf.DUMMYFUNCTION("IMPORTRANGE(""https://docs.google.com/spreadsheets/d/13wPX838HrBrQMCywv1BsuMkt4PEKTChp52zj44s2izQ/edit?usp=sharing"",""กาญจนบุรี!N144"")+IMPORTRANGE(""https://docs.google.com/spreadsheets/d/1ddFKvqj1W1NEiWytbGlB1zMx_ykJDVtmfEQ-6-lIUBA/edit?usp=sharing"","&amp;"""จันทบุรี!N144"")+IMPORTRANGE(""https://docs.google.com/spreadsheets/d/1T1PQvRODqOBZk8BRht_U031fIS1beLA0Ub2CEytj2q0/edit?usp=sharing"",""ฉะเชิงเทรา!N144"")+IMPORTRANGE(""https://docs.google.com/spreadsheets/d/11tr1B-Bhyr79v2bkwVh5h_fR-PStkgjlZtkrZpYurG0/"&amp;"edit?usp=sharing"",""ชลบุรี!N144"")+IMPORTRANGE(""https://docs.google.com/spreadsheets/d/1hh-FVnSX0vozXhGluamEcS54Dw9_zqW0N7qJUWgJ0Sw/edit?usp=sharing"",""ชัยนาท!N144"")+IMPORTRANGE(""https://docs.google.com/spreadsheets/d/1jkqa6GXxSacMcY1eN8AHjMNJ_7dDXMJ"&amp;"VRLDlaFSOdPM/edit?usp=sharing"",""ตราด!N144"")+IMPORTRANGE(""https://docs.google.com/spreadsheets/d/18hSgUJ3VwClqi_qtULmmW3cLr0oe3OKaSYoKzdpTsYQ/edit?usp=sharing"",""นครนายก!N144"")+IMPORTRANGE(""https://docs.google.com/spreadsheets/d/1YTZo6WM2dQ6Ix6FSdnL"&amp;"5P7uVnVKu40sxZu975tgG10E/edit?usp=sharing"",""นครปฐม!N144"")+IMPORTRANGE(""https://docs.google.com/spreadsheets/d/1OYoGg4WDg5RIzwGeB10padOxJF9E_Vljuvvct_M7RDo/edit?usp=sharing"",""ปทุมธานี!N144"")+IMPORTRANGE(""https://docs.google.com/spreadsheets/d/1GbCI"&amp;"E4D4wk9FUozzqk7SxfDMxDVBwVmI5zcaVUSzKAc/edit?usp=sharing"",""ประจวบคีรีขันธ์!N144"")+IMPORTRANGE(""https://docs.google.com/spreadsheets/d/1vVf6wykvW_lAyu7Yo9L4hUTqHqIeP_qcVuxCtosJEbg/edit?usp=sharing"",""ปราจีนบุรี!N144"")+IMPORTRANGE(""https://docs.googl"&amp;"e.com/spreadsheets/d/1BIDqLLg5jk3v59G8NlR8rk5xfQDKne0sAvZHSj7TI6I/edit?usp=sharing"",""พระนครศรีอยุธยา!N144"")+IMPORTRANGE(""https://docs.google.com/spreadsheets/d/1YXvxf8Yu6_rV4hTBrwMqAcAnv6DfhUxh5emyM3CJp_w/edit?usp=sharing"",""เพชรบุรี!N144"")+IMPORTRA"&amp;"NGE(""https://docs.google.com/spreadsheets/d/19KBlQQs7uwvsao6t2n-KvW3Ax8J8uRRfZPq1zPbXgKc/edit?usp=sharing"",""ระยอง!N144"")+IMPORTRANGE(""https://docs.google.com/spreadsheets/d/1jQ6P4QcrGM89YfqcC_PxOHGCMq5ezhucwJd8ci-NHng/edit?usp=sharing"",""ราชบุรี!N14"&amp;"4"")+IMPORTRANGE(""https://docs.google.com/spreadsheets/d/1lufeA2cfFqM-elVq2hznhDzC6Pr7wkJ9ZG_sYNGCMCU/edit?usp=sharing"",""ลพบุรี!N144"")+IMPORTRANGE(""https://docs.google.com/spreadsheets/d/10oOiF7loTyfsTkbd4MpaIm0HQ9SwB7IYHdIUvt-U1Uc/edit?usp=sharing"""&amp;",""สระแก้ว!N144"")+IMPORTRANGE(""https://docs.google.com/spreadsheets/d/1xmPlrr1QbdSIKvl1dWUl9K4PjAfSL9oeMr_37QVzcxc/edit?usp=sharing"",""สระบุรี!N144"")+IMPORTRANGE(""https://docs.google.com/spreadsheets/d/1j51vR6CYVGhABJpv6tkstgok82RLpXieLzW1yOY5rHw/edi"&amp;"t?usp=sharing"",""สิงห์บุรี!N144"")+IMPORTRANGE(""https://docs.google.com/spreadsheets/d/1H1EalTWKUSzO4Z1-1CwzoDUaVffgrThEBe2sl74kKG0/edit?usp=sharing"",""สุพรรณบุรี!N144"")+IMPORTRANGE(""https://docs.google.com/spreadsheets/d/1BmIruG_sIrJLYao_Pdr7zVArWsf"&amp;"oBt2692TMi6x_854/edit?usp=sharing"",""อ่างทอง!N144"")"),83208)</f>
        <v>83208</v>
      </c>
      <c r="O144" s="59">
        <f t="shared" ca="1" si="66"/>
        <v>10.518012893439515</v>
      </c>
      <c r="P144" s="59">
        <f t="shared" ca="1" si="67"/>
        <v>13.315410465674509</v>
      </c>
    </row>
    <row r="145" spans="1:16" ht="18.75" x14ac:dyDescent="0.25">
      <c r="A145" s="157"/>
      <c r="B145" s="53"/>
      <c r="C145" s="53"/>
      <c r="D145" s="54" t="s">
        <v>21</v>
      </c>
      <c r="E145" s="53"/>
      <c r="F145" s="53"/>
      <c r="G145" s="55"/>
      <c r="H145" s="166" t="s">
        <v>12</v>
      </c>
      <c r="I145" s="164"/>
      <c r="J145" s="164"/>
      <c r="K145" s="165"/>
      <c r="L145" s="59">
        <f t="shared" ref="L145:N145" ca="1" si="71">L146+L147</f>
        <v>0</v>
      </c>
      <c r="M145" s="59">
        <f t="shared" ca="1" si="71"/>
        <v>0</v>
      </c>
      <c r="N145" s="59">
        <f t="shared" ca="1" si="71"/>
        <v>0</v>
      </c>
      <c r="O145" s="59">
        <f t="shared" ca="1" si="66"/>
        <v>0</v>
      </c>
      <c r="P145" s="59">
        <f t="shared" ca="1" si="67"/>
        <v>0</v>
      </c>
    </row>
    <row r="146" spans="1:16" ht="18.75" x14ac:dyDescent="0.25">
      <c r="A146" s="157"/>
      <c r="B146" s="53"/>
      <c r="C146" s="53"/>
      <c r="D146" s="53"/>
      <c r="E146" s="60" t="s">
        <v>18</v>
      </c>
      <c r="F146" s="53"/>
      <c r="G146" s="55"/>
      <c r="H146" s="163" t="s">
        <v>12</v>
      </c>
      <c r="I146" s="164"/>
      <c r="J146" s="164"/>
      <c r="K146" s="165"/>
      <c r="L146" s="59">
        <f ca="1">IFERROR(__xludf.DUMMYFUNCTION("IMPORTRANGE(""https://docs.google.com/spreadsheets/d/13wPX838HrBrQMCywv1BsuMkt4PEKTChp52zj44s2izQ/edit?usp=sharing"",""กาญจนบุรี!L146"")+IMPORTRANGE(""https://docs.google.com/spreadsheets/d/1ddFKvqj1W1NEiWytbGlB1zMx_ykJDVtmfEQ-6-lIUBA/edit?usp=sharing"","&amp;"""จันทบุรี!L146"")+IMPORTRANGE(""https://docs.google.com/spreadsheets/d/1T1PQvRODqOBZk8BRht_U031fIS1beLA0Ub2CEytj2q0/edit?usp=sharing"",""ฉะเชิงเทรา!L146"")+IMPORTRANGE(""https://docs.google.com/spreadsheets/d/11tr1B-Bhyr79v2bkwVh5h_fR-PStkgjlZtkrZpYurG0/"&amp;"edit?usp=sharing"",""ชลบุรี!L146"")+IMPORTRANGE(""https://docs.google.com/spreadsheets/d/1hh-FVnSX0vozXhGluamEcS54Dw9_zqW0N7qJUWgJ0Sw/edit?usp=sharing"",""ชัยนาท!L146"")+IMPORTRANGE(""https://docs.google.com/spreadsheets/d/1jkqa6GXxSacMcY1eN8AHjMNJ_7dDXMJ"&amp;"VRLDlaFSOdPM/edit?usp=sharing"",""ตราด!L146"")+IMPORTRANGE(""https://docs.google.com/spreadsheets/d/18hSgUJ3VwClqi_qtULmmW3cLr0oe3OKaSYoKzdpTsYQ/edit?usp=sharing"",""นครนายก!L146"")+IMPORTRANGE(""https://docs.google.com/spreadsheets/d/1YTZo6WM2dQ6Ix6FSdnL"&amp;"5P7uVnVKu40sxZu975tgG10E/edit?usp=sharing"",""นครปฐม!L146"")+IMPORTRANGE(""https://docs.google.com/spreadsheets/d/1OYoGg4WDg5RIzwGeB10padOxJF9E_Vljuvvct_M7RDo/edit?usp=sharing"",""ปทุมธานี!L146"")+IMPORTRANGE(""https://docs.google.com/spreadsheets/d/1GbCI"&amp;"E4D4wk9FUozzqk7SxfDMxDVBwVmI5zcaVUSzKAc/edit?usp=sharing"",""ประจวบคีรีขันธ์!L146"")+IMPORTRANGE(""https://docs.google.com/spreadsheets/d/1vVf6wykvW_lAyu7Yo9L4hUTqHqIeP_qcVuxCtosJEbg/edit?usp=sharing"",""ปราจีนบุรี!L146"")+IMPORTRANGE(""https://docs.googl"&amp;"e.com/spreadsheets/d/1BIDqLLg5jk3v59G8NlR8rk5xfQDKne0sAvZHSj7TI6I/edit?usp=sharing"",""พระนครศรีอยุธยา!L146"")+IMPORTRANGE(""https://docs.google.com/spreadsheets/d/1YXvxf8Yu6_rV4hTBrwMqAcAnv6DfhUxh5emyM3CJp_w/edit?usp=sharing"",""เพชรบุรี!L146"")+IMPORTRA"&amp;"NGE(""https://docs.google.com/spreadsheets/d/19KBlQQs7uwvsao6t2n-KvW3Ax8J8uRRfZPq1zPbXgKc/edit?usp=sharing"",""ระยอง!L146"")+IMPORTRANGE(""https://docs.google.com/spreadsheets/d/1jQ6P4QcrGM89YfqcC_PxOHGCMq5ezhucwJd8ci-NHng/edit?usp=sharing"",""ราชบุรี!L14"&amp;"6"")+IMPORTRANGE(""https://docs.google.com/spreadsheets/d/1lufeA2cfFqM-elVq2hznhDzC6Pr7wkJ9ZG_sYNGCMCU/edit?usp=sharing"",""ลพบุรี!L146"")+IMPORTRANGE(""https://docs.google.com/spreadsheets/d/10oOiF7loTyfsTkbd4MpaIm0HQ9SwB7IYHdIUvt-U1Uc/edit?usp=sharing"""&amp;",""สระแก้ว!L146"")+IMPORTRANGE(""https://docs.google.com/spreadsheets/d/1xmPlrr1QbdSIKvl1dWUl9K4PjAfSL9oeMr_37QVzcxc/edit?usp=sharing"",""สระบุรี!L146"")+IMPORTRANGE(""https://docs.google.com/spreadsheets/d/1j51vR6CYVGhABJpv6tkstgok82RLpXieLzW1yOY5rHw/edi"&amp;"t?usp=sharing"",""สิงห์บุรี!L146"")+IMPORTRANGE(""https://docs.google.com/spreadsheets/d/1H1EalTWKUSzO4Z1-1CwzoDUaVffgrThEBe2sl74kKG0/edit?usp=sharing"",""สุพรรณบุรี!L146"")+IMPORTRANGE(""https://docs.google.com/spreadsheets/d/1BmIruG_sIrJLYao_Pdr7zVArWsf"&amp;"oBt2692TMi6x_854/edit?usp=sharing"",""อ่างทอง!L146"")"),0)</f>
        <v>0</v>
      </c>
      <c r="M146" s="59">
        <f ca="1">IFERROR(__xludf.DUMMYFUNCTION("IMPORTRANGE(""https://docs.google.com/spreadsheets/d/13wPX838HrBrQMCywv1BsuMkt4PEKTChp52zj44s2izQ/edit?usp=sharing"",""กาญจนบุรี!M146"")+IMPORTRANGE(""https://docs.google.com/spreadsheets/d/1ddFKvqj1W1NEiWytbGlB1zMx_ykJDVtmfEQ-6-lIUBA/edit?usp=sharing"","&amp;"""จันทบุรี!M146"")+IMPORTRANGE(""https://docs.google.com/spreadsheets/d/1T1PQvRODqOBZk8BRht_U031fIS1beLA0Ub2CEytj2q0/edit?usp=sharing"",""ฉะเชิงเทรา!M146"")+IMPORTRANGE(""https://docs.google.com/spreadsheets/d/11tr1B-Bhyr79v2bkwVh5h_fR-PStkgjlZtkrZpYurG0/"&amp;"edit?usp=sharing"",""ชลบุรี!M146"")+IMPORTRANGE(""https://docs.google.com/spreadsheets/d/1hh-FVnSX0vozXhGluamEcS54Dw9_zqW0N7qJUWgJ0Sw/edit?usp=sharing"",""ชัยนาท!M146"")+IMPORTRANGE(""https://docs.google.com/spreadsheets/d/1jkqa6GXxSacMcY1eN8AHjMNJ_7dDXMJ"&amp;"VRLDlaFSOdPM/edit?usp=sharing"",""ตราด!M146"")+IMPORTRANGE(""https://docs.google.com/spreadsheets/d/18hSgUJ3VwClqi_qtULmmW3cLr0oe3OKaSYoKzdpTsYQ/edit?usp=sharing"",""นครนายก!M146"")+IMPORTRANGE(""https://docs.google.com/spreadsheets/d/1YTZo6WM2dQ6Ix6FSdnL"&amp;"5P7uVnVKu40sxZu975tgG10E/edit?usp=sharing"",""นครปฐม!M146"")+IMPORTRANGE(""https://docs.google.com/spreadsheets/d/1OYoGg4WDg5RIzwGeB10padOxJF9E_Vljuvvct_M7RDo/edit?usp=sharing"",""ปทุมธานี!M146"")+IMPORTRANGE(""https://docs.google.com/spreadsheets/d/1GbCI"&amp;"E4D4wk9FUozzqk7SxfDMxDVBwVmI5zcaVUSzKAc/edit?usp=sharing"",""ประจวบคีรีขันธ์!M146"")+IMPORTRANGE(""https://docs.google.com/spreadsheets/d/1vVf6wykvW_lAyu7Yo9L4hUTqHqIeP_qcVuxCtosJEbg/edit?usp=sharing"",""ปราจีนบุรี!M146"")+IMPORTRANGE(""https://docs.googl"&amp;"e.com/spreadsheets/d/1BIDqLLg5jk3v59G8NlR8rk5xfQDKne0sAvZHSj7TI6I/edit?usp=sharing"",""พระนครศรีอยุธยา!M146"")+IMPORTRANGE(""https://docs.google.com/spreadsheets/d/1YXvxf8Yu6_rV4hTBrwMqAcAnv6DfhUxh5emyM3CJp_w/edit?usp=sharing"",""เพชรบุรี!M146"")+IMPORTRA"&amp;"NGE(""https://docs.google.com/spreadsheets/d/19KBlQQs7uwvsao6t2n-KvW3Ax8J8uRRfZPq1zPbXgKc/edit?usp=sharing"",""ระยอง!M146"")+IMPORTRANGE(""https://docs.google.com/spreadsheets/d/1jQ6P4QcrGM89YfqcC_PxOHGCMq5ezhucwJd8ci-NHng/edit?usp=sharing"",""ราชบุรี!M14"&amp;"6"")+IMPORTRANGE(""https://docs.google.com/spreadsheets/d/1lufeA2cfFqM-elVq2hznhDzC6Pr7wkJ9ZG_sYNGCMCU/edit?usp=sharing"",""ลพบุรี!M146"")+IMPORTRANGE(""https://docs.google.com/spreadsheets/d/10oOiF7loTyfsTkbd4MpaIm0HQ9SwB7IYHdIUvt-U1Uc/edit?usp=sharing"""&amp;",""สระแก้ว!M146"")+IMPORTRANGE(""https://docs.google.com/spreadsheets/d/1xmPlrr1QbdSIKvl1dWUl9K4PjAfSL9oeMr_37QVzcxc/edit?usp=sharing"",""สระบุรี!M146"")+IMPORTRANGE(""https://docs.google.com/spreadsheets/d/1j51vR6CYVGhABJpv6tkstgok82RLpXieLzW1yOY5rHw/edi"&amp;"t?usp=sharing"",""สิงห์บุรี!M146"")+IMPORTRANGE(""https://docs.google.com/spreadsheets/d/1H1EalTWKUSzO4Z1-1CwzoDUaVffgrThEBe2sl74kKG0/edit?usp=sharing"",""สุพรรณบุรี!M146"")+IMPORTRANGE(""https://docs.google.com/spreadsheets/d/1BmIruG_sIrJLYao_Pdr7zVArWsf"&amp;"oBt2692TMi6x_854/edit?usp=sharing"",""อ่างทอง!M146"")"),0)</f>
        <v>0</v>
      </c>
      <c r="N146" s="59">
        <f ca="1">IFERROR(__xludf.DUMMYFUNCTION("IMPORTRANGE(""https://docs.google.com/spreadsheets/d/13wPX838HrBrQMCywv1BsuMkt4PEKTChp52zj44s2izQ/edit?usp=sharing"",""กาญจนบุรี!N146"")+IMPORTRANGE(""https://docs.google.com/spreadsheets/d/1ddFKvqj1W1NEiWytbGlB1zMx_ykJDVtmfEQ-6-lIUBA/edit?usp=sharing"","&amp;"""จันทบุรี!N146"")+IMPORTRANGE(""https://docs.google.com/spreadsheets/d/1T1PQvRODqOBZk8BRht_U031fIS1beLA0Ub2CEytj2q0/edit?usp=sharing"",""ฉะเชิงเทรา!N146"")+IMPORTRANGE(""https://docs.google.com/spreadsheets/d/11tr1B-Bhyr79v2bkwVh5h_fR-PStkgjlZtkrZpYurG0/"&amp;"edit?usp=sharing"",""ชลบุรี!N146"")+IMPORTRANGE(""https://docs.google.com/spreadsheets/d/1hh-FVnSX0vozXhGluamEcS54Dw9_zqW0N7qJUWgJ0Sw/edit?usp=sharing"",""ชัยนาท!N146"")+IMPORTRANGE(""https://docs.google.com/spreadsheets/d/1jkqa6GXxSacMcY1eN8AHjMNJ_7dDXMJ"&amp;"VRLDlaFSOdPM/edit?usp=sharing"",""ตราด!N146"")+IMPORTRANGE(""https://docs.google.com/spreadsheets/d/18hSgUJ3VwClqi_qtULmmW3cLr0oe3OKaSYoKzdpTsYQ/edit?usp=sharing"",""นครนายก!N146"")+IMPORTRANGE(""https://docs.google.com/spreadsheets/d/1YTZo6WM2dQ6Ix6FSdnL"&amp;"5P7uVnVKu40sxZu975tgG10E/edit?usp=sharing"",""นครปฐม!N146"")+IMPORTRANGE(""https://docs.google.com/spreadsheets/d/1OYoGg4WDg5RIzwGeB10padOxJF9E_Vljuvvct_M7RDo/edit?usp=sharing"",""ปทุมธานี!N146"")+IMPORTRANGE(""https://docs.google.com/spreadsheets/d/1GbCI"&amp;"E4D4wk9FUozzqk7SxfDMxDVBwVmI5zcaVUSzKAc/edit?usp=sharing"",""ประจวบคีรีขันธ์!N146"")+IMPORTRANGE(""https://docs.google.com/spreadsheets/d/1vVf6wykvW_lAyu7Yo9L4hUTqHqIeP_qcVuxCtosJEbg/edit?usp=sharing"",""ปราจีนบุรี!N146"")+IMPORTRANGE(""https://docs.googl"&amp;"e.com/spreadsheets/d/1BIDqLLg5jk3v59G8NlR8rk5xfQDKne0sAvZHSj7TI6I/edit?usp=sharing"",""พระนครศรีอยุธยา!N146"")+IMPORTRANGE(""https://docs.google.com/spreadsheets/d/1YXvxf8Yu6_rV4hTBrwMqAcAnv6DfhUxh5emyM3CJp_w/edit?usp=sharing"",""เพชรบุรี!N146"")+IMPORTRA"&amp;"NGE(""https://docs.google.com/spreadsheets/d/19KBlQQs7uwvsao6t2n-KvW3Ax8J8uRRfZPq1zPbXgKc/edit?usp=sharing"",""ระยอง!N146"")+IMPORTRANGE(""https://docs.google.com/spreadsheets/d/1jQ6P4QcrGM89YfqcC_PxOHGCMq5ezhucwJd8ci-NHng/edit?usp=sharing"",""ราชบุรี!N14"&amp;"6"")+IMPORTRANGE(""https://docs.google.com/spreadsheets/d/1lufeA2cfFqM-elVq2hznhDzC6Pr7wkJ9ZG_sYNGCMCU/edit?usp=sharing"",""ลพบุรี!N146"")+IMPORTRANGE(""https://docs.google.com/spreadsheets/d/10oOiF7loTyfsTkbd4MpaIm0HQ9SwB7IYHdIUvt-U1Uc/edit?usp=sharing"""&amp;",""สระแก้ว!N146"")+IMPORTRANGE(""https://docs.google.com/spreadsheets/d/1xmPlrr1QbdSIKvl1dWUl9K4PjAfSL9oeMr_37QVzcxc/edit?usp=sharing"",""สระบุรี!N146"")+IMPORTRANGE(""https://docs.google.com/spreadsheets/d/1j51vR6CYVGhABJpv6tkstgok82RLpXieLzW1yOY5rHw/edi"&amp;"t?usp=sharing"",""สิงห์บุรี!N146"")+IMPORTRANGE(""https://docs.google.com/spreadsheets/d/1H1EalTWKUSzO4Z1-1CwzoDUaVffgrThEBe2sl74kKG0/edit?usp=sharing"",""สุพรรณบุรี!N146"")+IMPORTRANGE(""https://docs.google.com/spreadsheets/d/1BmIruG_sIrJLYao_Pdr7zVArWsf"&amp;"oBt2692TMi6x_854/edit?usp=sharing"",""อ่างทอง!N146"")"),0)</f>
        <v>0</v>
      </c>
      <c r="O146" s="59">
        <f t="shared" ca="1" si="66"/>
        <v>0</v>
      </c>
      <c r="P146" s="59">
        <f t="shared" ca="1" si="67"/>
        <v>0</v>
      </c>
    </row>
    <row r="147" spans="1:16" ht="18.75" x14ac:dyDescent="0.25">
      <c r="A147" s="157"/>
      <c r="B147" s="53"/>
      <c r="C147" s="53"/>
      <c r="D147" s="53"/>
      <c r="E147" s="60" t="s">
        <v>19</v>
      </c>
      <c r="F147" s="53"/>
      <c r="G147" s="55"/>
      <c r="H147" s="166" t="s">
        <v>12</v>
      </c>
      <c r="I147" s="164"/>
      <c r="J147" s="164"/>
      <c r="K147" s="165"/>
      <c r="L147" s="59">
        <f ca="1">IFERROR(__xludf.DUMMYFUNCTION("IMPORTRANGE(""https://docs.google.com/spreadsheets/d/13wPX838HrBrQMCywv1BsuMkt4PEKTChp52zj44s2izQ/edit?usp=sharing"",""กาญจนบุรี!L147"")+IMPORTRANGE(""https://docs.google.com/spreadsheets/d/1ddFKvqj1W1NEiWytbGlB1zMx_ykJDVtmfEQ-6-lIUBA/edit?usp=sharing"","&amp;"""จันทบุรี!L147"")+IMPORTRANGE(""https://docs.google.com/spreadsheets/d/1T1PQvRODqOBZk8BRht_U031fIS1beLA0Ub2CEytj2q0/edit?usp=sharing"",""ฉะเชิงเทรา!L147"")+IMPORTRANGE(""https://docs.google.com/spreadsheets/d/11tr1B-Bhyr79v2bkwVh5h_fR-PStkgjlZtkrZpYurG0/"&amp;"edit?usp=sharing"",""ชลบุรี!L147"")+IMPORTRANGE(""https://docs.google.com/spreadsheets/d/1hh-FVnSX0vozXhGluamEcS54Dw9_zqW0N7qJUWgJ0Sw/edit?usp=sharing"",""ชัยนาท!L147"")+IMPORTRANGE(""https://docs.google.com/spreadsheets/d/1jkqa6GXxSacMcY1eN8AHjMNJ_7dDXMJ"&amp;"VRLDlaFSOdPM/edit?usp=sharing"",""ตราด!L147"")+IMPORTRANGE(""https://docs.google.com/spreadsheets/d/18hSgUJ3VwClqi_qtULmmW3cLr0oe3OKaSYoKzdpTsYQ/edit?usp=sharing"",""นครนายก!L147"")+IMPORTRANGE(""https://docs.google.com/spreadsheets/d/1YTZo6WM2dQ6Ix6FSdnL"&amp;"5P7uVnVKu40sxZu975tgG10E/edit?usp=sharing"",""นครปฐม!L147"")+IMPORTRANGE(""https://docs.google.com/spreadsheets/d/1OYoGg4WDg5RIzwGeB10padOxJF9E_Vljuvvct_M7RDo/edit?usp=sharing"",""ปทุมธานี!L147"")+IMPORTRANGE(""https://docs.google.com/spreadsheets/d/1GbCI"&amp;"E4D4wk9FUozzqk7SxfDMxDVBwVmI5zcaVUSzKAc/edit?usp=sharing"",""ประจวบคีรีขันธ์!L147"")+IMPORTRANGE(""https://docs.google.com/spreadsheets/d/1vVf6wykvW_lAyu7Yo9L4hUTqHqIeP_qcVuxCtosJEbg/edit?usp=sharing"",""ปราจีนบุรี!L147"")+IMPORTRANGE(""https://docs.googl"&amp;"e.com/spreadsheets/d/1BIDqLLg5jk3v59G8NlR8rk5xfQDKne0sAvZHSj7TI6I/edit?usp=sharing"",""พระนครศรีอยุธยา!L147"")+IMPORTRANGE(""https://docs.google.com/spreadsheets/d/1YXvxf8Yu6_rV4hTBrwMqAcAnv6DfhUxh5emyM3CJp_w/edit?usp=sharing"",""เพชรบุรี!L147"")+IMPORTRA"&amp;"NGE(""https://docs.google.com/spreadsheets/d/19KBlQQs7uwvsao6t2n-KvW3Ax8J8uRRfZPq1zPbXgKc/edit?usp=sharing"",""ระยอง!L147"")+IMPORTRANGE(""https://docs.google.com/spreadsheets/d/1jQ6P4QcrGM89YfqcC_PxOHGCMq5ezhucwJd8ci-NHng/edit?usp=sharing"",""ราชบุรี!L14"&amp;"7"")+IMPORTRANGE(""https://docs.google.com/spreadsheets/d/1lufeA2cfFqM-elVq2hznhDzC6Pr7wkJ9ZG_sYNGCMCU/edit?usp=sharing"",""ลพบุรี!L147"")+IMPORTRANGE(""https://docs.google.com/spreadsheets/d/10oOiF7loTyfsTkbd4MpaIm0HQ9SwB7IYHdIUvt-U1Uc/edit?usp=sharing"""&amp;",""สระแก้ว!L147"")+IMPORTRANGE(""https://docs.google.com/spreadsheets/d/1xmPlrr1QbdSIKvl1dWUl9K4PjAfSL9oeMr_37QVzcxc/edit?usp=sharing"",""สระบุรี!L147"")+IMPORTRANGE(""https://docs.google.com/spreadsheets/d/1j51vR6CYVGhABJpv6tkstgok82RLpXieLzW1yOY5rHw/edi"&amp;"t?usp=sharing"",""สิงห์บุรี!L147"")+IMPORTRANGE(""https://docs.google.com/spreadsheets/d/1H1EalTWKUSzO4Z1-1CwzoDUaVffgrThEBe2sl74kKG0/edit?usp=sharing"",""สุพรรณบุรี!L147"")+IMPORTRANGE(""https://docs.google.com/spreadsheets/d/1BmIruG_sIrJLYao_Pdr7zVArWsf"&amp;"oBt2692TMi6x_854/edit?usp=sharing"",""อ่างทอง!L147"")"),0)</f>
        <v>0</v>
      </c>
      <c r="M147" s="59">
        <f ca="1">IFERROR(__xludf.DUMMYFUNCTION("IMPORTRANGE(""https://docs.google.com/spreadsheets/d/13wPX838HrBrQMCywv1BsuMkt4PEKTChp52zj44s2izQ/edit?usp=sharing"",""กาญจนบุรี!M147"")+IMPORTRANGE(""https://docs.google.com/spreadsheets/d/1ddFKvqj1W1NEiWytbGlB1zMx_ykJDVtmfEQ-6-lIUBA/edit?usp=sharing"","&amp;"""จันทบุรี!M147"")+IMPORTRANGE(""https://docs.google.com/spreadsheets/d/1T1PQvRODqOBZk8BRht_U031fIS1beLA0Ub2CEytj2q0/edit?usp=sharing"",""ฉะเชิงเทรา!M147"")+IMPORTRANGE(""https://docs.google.com/spreadsheets/d/11tr1B-Bhyr79v2bkwVh5h_fR-PStkgjlZtkrZpYurG0/"&amp;"edit?usp=sharing"",""ชลบุรี!M147"")+IMPORTRANGE(""https://docs.google.com/spreadsheets/d/1hh-FVnSX0vozXhGluamEcS54Dw9_zqW0N7qJUWgJ0Sw/edit?usp=sharing"",""ชัยนาท!M147"")+IMPORTRANGE(""https://docs.google.com/spreadsheets/d/1jkqa6GXxSacMcY1eN8AHjMNJ_7dDXMJ"&amp;"VRLDlaFSOdPM/edit?usp=sharing"",""ตราด!M147"")+IMPORTRANGE(""https://docs.google.com/spreadsheets/d/18hSgUJ3VwClqi_qtULmmW3cLr0oe3OKaSYoKzdpTsYQ/edit?usp=sharing"",""นครนายก!M147"")+IMPORTRANGE(""https://docs.google.com/spreadsheets/d/1YTZo6WM2dQ6Ix6FSdnL"&amp;"5P7uVnVKu40sxZu975tgG10E/edit?usp=sharing"",""นครปฐม!M147"")+IMPORTRANGE(""https://docs.google.com/spreadsheets/d/1OYoGg4WDg5RIzwGeB10padOxJF9E_Vljuvvct_M7RDo/edit?usp=sharing"",""ปทุมธานี!M147"")+IMPORTRANGE(""https://docs.google.com/spreadsheets/d/1GbCI"&amp;"E4D4wk9FUozzqk7SxfDMxDVBwVmI5zcaVUSzKAc/edit?usp=sharing"",""ประจวบคีรีขันธ์!M147"")+IMPORTRANGE(""https://docs.google.com/spreadsheets/d/1vVf6wykvW_lAyu7Yo9L4hUTqHqIeP_qcVuxCtosJEbg/edit?usp=sharing"",""ปราจีนบุรี!M147"")+IMPORTRANGE(""https://docs.googl"&amp;"e.com/spreadsheets/d/1BIDqLLg5jk3v59G8NlR8rk5xfQDKne0sAvZHSj7TI6I/edit?usp=sharing"",""พระนครศรีอยุธยา!M147"")+IMPORTRANGE(""https://docs.google.com/spreadsheets/d/1YXvxf8Yu6_rV4hTBrwMqAcAnv6DfhUxh5emyM3CJp_w/edit?usp=sharing"",""เพชรบุรี!M147"")+IMPORTRA"&amp;"NGE(""https://docs.google.com/spreadsheets/d/19KBlQQs7uwvsao6t2n-KvW3Ax8J8uRRfZPq1zPbXgKc/edit?usp=sharing"",""ระยอง!M147"")+IMPORTRANGE(""https://docs.google.com/spreadsheets/d/1jQ6P4QcrGM89YfqcC_PxOHGCMq5ezhucwJd8ci-NHng/edit?usp=sharing"",""ราชบุรี!M14"&amp;"7"")+IMPORTRANGE(""https://docs.google.com/spreadsheets/d/1lufeA2cfFqM-elVq2hznhDzC6Pr7wkJ9ZG_sYNGCMCU/edit?usp=sharing"",""ลพบุรี!M147"")+IMPORTRANGE(""https://docs.google.com/spreadsheets/d/10oOiF7loTyfsTkbd4MpaIm0HQ9SwB7IYHdIUvt-U1Uc/edit?usp=sharing"""&amp;",""สระแก้ว!M147"")+IMPORTRANGE(""https://docs.google.com/spreadsheets/d/1xmPlrr1QbdSIKvl1dWUl9K4PjAfSL9oeMr_37QVzcxc/edit?usp=sharing"",""สระบุรี!M147"")+IMPORTRANGE(""https://docs.google.com/spreadsheets/d/1j51vR6CYVGhABJpv6tkstgok82RLpXieLzW1yOY5rHw/edi"&amp;"t?usp=sharing"",""สิงห์บุรี!M147"")+IMPORTRANGE(""https://docs.google.com/spreadsheets/d/1H1EalTWKUSzO4Z1-1CwzoDUaVffgrThEBe2sl74kKG0/edit?usp=sharing"",""สุพรรณบุรี!M147"")+IMPORTRANGE(""https://docs.google.com/spreadsheets/d/1BmIruG_sIrJLYao_Pdr7zVArWsf"&amp;"oBt2692TMi6x_854/edit?usp=sharing"",""อ่างทอง!M147"")"),0)</f>
        <v>0</v>
      </c>
      <c r="N147" s="59">
        <f ca="1">IFERROR(__xludf.DUMMYFUNCTION("IMPORTRANGE(""https://docs.google.com/spreadsheets/d/13wPX838HrBrQMCywv1BsuMkt4PEKTChp52zj44s2izQ/edit?usp=sharing"",""กาญจนบุรี!N147"")+IMPORTRANGE(""https://docs.google.com/spreadsheets/d/1ddFKvqj1W1NEiWytbGlB1zMx_ykJDVtmfEQ-6-lIUBA/edit?usp=sharing"","&amp;"""จันทบุรี!N147"")+IMPORTRANGE(""https://docs.google.com/spreadsheets/d/1T1PQvRODqOBZk8BRht_U031fIS1beLA0Ub2CEytj2q0/edit?usp=sharing"",""ฉะเชิงเทรา!N147"")+IMPORTRANGE(""https://docs.google.com/spreadsheets/d/11tr1B-Bhyr79v2bkwVh5h_fR-PStkgjlZtkrZpYurG0/"&amp;"edit?usp=sharing"",""ชลบุรี!N147"")+IMPORTRANGE(""https://docs.google.com/spreadsheets/d/1hh-FVnSX0vozXhGluamEcS54Dw9_zqW0N7qJUWgJ0Sw/edit?usp=sharing"",""ชัยนาท!N147"")+IMPORTRANGE(""https://docs.google.com/spreadsheets/d/1jkqa6GXxSacMcY1eN8AHjMNJ_7dDXMJ"&amp;"VRLDlaFSOdPM/edit?usp=sharing"",""ตราด!N147"")+IMPORTRANGE(""https://docs.google.com/spreadsheets/d/18hSgUJ3VwClqi_qtULmmW3cLr0oe3OKaSYoKzdpTsYQ/edit?usp=sharing"",""นครนายก!N147"")+IMPORTRANGE(""https://docs.google.com/spreadsheets/d/1YTZo6WM2dQ6Ix6FSdnL"&amp;"5P7uVnVKu40sxZu975tgG10E/edit?usp=sharing"",""นครปฐม!N147"")+IMPORTRANGE(""https://docs.google.com/spreadsheets/d/1OYoGg4WDg5RIzwGeB10padOxJF9E_Vljuvvct_M7RDo/edit?usp=sharing"",""ปทุมธานี!N147"")+IMPORTRANGE(""https://docs.google.com/spreadsheets/d/1GbCI"&amp;"E4D4wk9FUozzqk7SxfDMxDVBwVmI5zcaVUSzKAc/edit?usp=sharing"",""ประจวบคีรีขันธ์!N147"")+IMPORTRANGE(""https://docs.google.com/spreadsheets/d/1vVf6wykvW_lAyu7Yo9L4hUTqHqIeP_qcVuxCtosJEbg/edit?usp=sharing"",""ปราจีนบุรี!N147"")+IMPORTRANGE(""https://docs.googl"&amp;"e.com/spreadsheets/d/1BIDqLLg5jk3v59G8NlR8rk5xfQDKne0sAvZHSj7TI6I/edit?usp=sharing"",""พระนครศรีอยุธยา!N147"")+IMPORTRANGE(""https://docs.google.com/spreadsheets/d/1YXvxf8Yu6_rV4hTBrwMqAcAnv6DfhUxh5emyM3CJp_w/edit?usp=sharing"",""เพชรบุรี!N147"")+IMPORTRA"&amp;"NGE(""https://docs.google.com/spreadsheets/d/19KBlQQs7uwvsao6t2n-KvW3Ax8J8uRRfZPq1zPbXgKc/edit?usp=sharing"",""ระยอง!N147"")+IMPORTRANGE(""https://docs.google.com/spreadsheets/d/1jQ6P4QcrGM89YfqcC_PxOHGCMq5ezhucwJd8ci-NHng/edit?usp=sharing"",""ราชบุรี!N14"&amp;"7"")+IMPORTRANGE(""https://docs.google.com/spreadsheets/d/1lufeA2cfFqM-elVq2hznhDzC6Pr7wkJ9ZG_sYNGCMCU/edit?usp=sharing"",""ลพบุรี!N147"")+IMPORTRANGE(""https://docs.google.com/spreadsheets/d/10oOiF7loTyfsTkbd4MpaIm0HQ9SwB7IYHdIUvt-U1Uc/edit?usp=sharing"""&amp;",""สระแก้ว!N147"")+IMPORTRANGE(""https://docs.google.com/spreadsheets/d/1xmPlrr1QbdSIKvl1dWUl9K4PjAfSL9oeMr_37QVzcxc/edit?usp=sharing"",""สระบุรี!N147"")+IMPORTRANGE(""https://docs.google.com/spreadsheets/d/1j51vR6CYVGhABJpv6tkstgok82RLpXieLzW1yOY5rHw/edi"&amp;"t?usp=sharing"",""สิงห์บุรี!N147"")+IMPORTRANGE(""https://docs.google.com/spreadsheets/d/1H1EalTWKUSzO4Z1-1CwzoDUaVffgrThEBe2sl74kKG0/edit?usp=sharing"",""สุพรรณบุรี!N147"")+IMPORTRANGE(""https://docs.google.com/spreadsheets/d/1BmIruG_sIrJLYao_Pdr7zVArWsf"&amp;"oBt2692TMi6x_854/edit?usp=sharing"",""อ่างทอง!N147"")"),0)</f>
        <v>0</v>
      </c>
      <c r="O147" s="59">
        <f t="shared" ca="1" si="66"/>
        <v>0</v>
      </c>
      <c r="P147" s="59">
        <f t="shared" ca="1" si="67"/>
        <v>0</v>
      </c>
    </row>
    <row r="148" spans="1:16" ht="19.5" x14ac:dyDescent="0.3">
      <c r="A148" s="167"/>
      <c r="B148" s="168"/>
      <c r="C148" s="158" t="s">
        <v>16</v>
      </c>
      <c r="D148" s="169" t="s">
        <v>36</v>
      </c>
      <c r="E148" s="170"/>
      <c r="F148" s="170"/>
      <c r="G148" s="171"/>
      <c r="H148" s="227"/>
      <c r="I148" s="57"/>
      <c r="J148" s="57"/>
      <c r="K148" s="58"/>
      <c r="L148" s="58"/>
      <c r="M148" s="58"/>
      <c r="N148" s="58"/>
      <c r="O148" s="58"/>
      <c r="P148" s="58"/>
    </row>
    <row r="149" spans="1:16" ht="18.75" x14ac:dyDescent="0.25">
      <c r="A149" s="157"/>
      <c r="B149" s="53"/>
      <c r="C149" s="53"/>
      <c r="D149" s="60" t="s">
        <v>57</v>
      </c>
      <c r="E149" s="53"/>
      <c r="F149" s="53"/>
      <c r="G149" s="55"/>
      <c r="H149" s="227"/>
      <c r="I149" s="57"/>
      <c r="J149" s="196">
        <f ca="1">IFERROR(__xludf.DUMMYFUNCTION("IMPORTRANGE(""https://docs.google.com/spreadsheets/d/13wPX838HrBrQMCywv1BsuMkt4PEKTChp52zj44s2izQ/edit?usp=sharing"",""กาญจนบุรี!J149"")+IMPORTRANGE(""https://docs.google.com/spreadsheets/d/1ddFKvqj1W1NEiWytbGlB1zMx_ykJDVtmfEQ-6-lIUBA/edit?usp=sharing"","&amp;"""จันทบุรี!J149"")+IMPORTRANGE(""https://docs.google.com/spreadsheets/d/1T1PQvRODqOBZk8BRht_U031fIS1beLA0Ub2CEytj2q0/edit?usp=sharing"",""ฉะเชิงเทรา!J149"")+IMPORTRANGE(""https://docs.google.com/spreadsheets/d/11tr1B-Bhyr79v2bkwVh5h_fR-PStkgjlZtkrZpYurG0/"&amp;"edit?usp=sharing"",""ชลบุรี!J149"")+IMPORTRANGE(""https://docs.google.com/spreadsheets/d/1hh-FVnSX0vozXhGluamEcS54Dw9_zqW0N7qJUWgJ0Sw/edit?usp=sharing"",""ชัยนาท!J149"")+IMPORTRANGE(""https://docs.google.com/spreadsheets/d/1jkqa6GXxSacMcY1eN8AHjMNJ_7dDXMJ"&amp;"VRLDlaFSOdPM/edit?usp=sharing"",""ตราด!J149"")+IMPORTRANGE(""https://docs.google.com/spreadsheets/d/18hSgUJ3VwClqi_qtULmmW3cLr0oe3OKaSYoKzdpTsYQ/edit?usp=sharing"",""นครนายก!J149"")+IMPORTRANGE(""https://docs.google.com/spreadsheets/d/1YTZo6WM2dQ6Ix6FSdnL"&amp;"5P7uVnVKu40sxZu975tgG10E/edit?usp=sharing"",""นครปฐม!J149"")+IMPORTRANGE(""https://docs.google.com/spreadsheets/d/1OYoGg4WDg5RIzwGeB10padOxJF9E_Vljuvvct_M7RDo/edit?usp=sharing"",""ปทุมธานี!J149"")+IMPORTRANGE(""https://docs.google.com/spreadsheets/d/1GbCI"&amp;"E4D4wk9FUozzqk7SxfDMxDVBwVmI5zcaVUSzKAc/edit?usp=sharing"",""ประจวบคีรีขันธ์!J149"")+IMPORTRANGE(""https://docs.google.com/spreadsheets/d/1vVf6wykvW_lAyu7Yo9L4hUTqHqIeP_qcVuxCtosJEbg/edit?usp=sharing"",""ปราจีนบุรี!J149"")+IMPORTRANGE(""https://docs.googl"&amp;"e.com/spreadsheets/d/1BIDqLLg5jk3v59G8NlR8rk5xfQDKne0sAvZHSj7TI6I/edit?usp=sharing"",""พระนครศรีอยุธยา!J149"")+IMPORTRANGE(""https://docs.google.com/spreadsheets/d/1YXvxf8Yu6_rV4hTBrwMqAcAnv6DfhUxh5emyM3CJp_w/edit?usp=sharing"",""เพชรบุรี!J149"")+IMPORTRA"&amp;"NGE(""https://docs.google.com/spreadsheets/d/19KBlQQs7uwvsao6t2n-KvW3Ax8J8uRRfZPq1zPbXgKc/edit?usp=sharing"",""ระยอง!J149"")+IMPORTRANGE(""https://docs.google.com/spreadsheets/d/1jQ6P4QcrGM89YfqcC_PxOHGCMq5ezhucwJd8ci-NHng/edit?usp=sharing"",""ราชบุรี!J14"&amp;"9"")+IMPORTRANGE(""https://docs.google.com/spreadsheets/d/1lufeA2cfFqM-elVq2hznhDzC6Pr7wkJ9ZG_sYNGCMCU/edit?usp=sharing"",""ลพบุรี!J149"")+IMPORTRANGE(""https://docs.google.com/spreadsheets/d/10oOiF7loTyfsTkbd4MpaIm0HQ9SwB7IYHdIUvt-U1Uc/edit?usp=sharing"""&amp;",""สระแก้ว!J149"")+IMPORTRANGE(""https://docs.google.com/spreadsheets/d/1xmPlrr1QbdSIKvl1dWUl9K4PjAfSL9oeMr_37QVzcxc/edit?usp=sharing"",""สระบุรี!J149"")+IMPORTRANGE(""https://docs.google.com/spreadsheets/d/1j51vR6CYVGhABJpv6tkstgok82RLpXieLzW1yOY5rHw/edi"&amp;"t?usp=sharing"",""สิงห์บุรี!J149"")+IMPORTRANGE(""https://docs.google.com/spreadsheets/d/1H1EalTWKUSzO4Z1-1CwzoDUaVffgrThEBe2sl74kKG0/edit?usp=sharing"",""สุพรรณบุรี!J149"")+IMPORTRANGE(""https://docs.google.com/spreadsheets/d/1BmIruG_sIrJLYao_Pdr7zVArWsf"&amp;"oBt2692TMi6x_854/edit?usp=sharing"",""อ่างทอง!J149"")"),0)</f>
        <v>0</v>
      </c>
      <c r="K149" s="58"/>
      <c r="L149" s="58"/>
      <c r="M149" s="58"/>
      <c r="N149" s="58"/>
      <c r="O149" s="58"/>
      <c r="P149" s="58"/>
    </row>
    <row r="150" spans="1:16" ht="19.5" x14ac:dyDescent="0.3">
      <c r="A150" s="228"/>
      <c r="B150" s="63"/>
      <c r="C150" s="63"/>
      <c r="D150" s="229"/>
      <c r="E150" s="230" t="s">
        <v>58</v>
      </c>
      <c r="F150" s="63"/>
      <c r="G150" s="65"/>
      <c r="H150" s="231" t="s">
        <v>33</v>
      </c>
      <c r="I150" s="232">
        <f ca="1">IFERROR(__xludf.DUMMYFUNCTION("IMPORTRANGE(""https://docs.google.com/spreadsheets/d/13wPX838HrBrQMCywv1BsuMkt4PEKTChp52zj44s2izQ/edit?usp=sharing"",""กาญจนบุรี!I150"")+IMPORTRANGE(""https://docs.google.com/spreadsheets/d/1ddFKvqj1W1NEiWytbGlB1zMx_ykJDVtmfEQ-6-lIUBA/edit?usp=sharing"","&amp;"""จันทบุรี!I150"")+IMPORTRANGE(""https://docs.google.com/spreadsheets/d/1T1PQvRODqOBZk8BRht_U031fIS1beLA0Ub2CEytj2q0/edit?usp=sharing"",""ฉะเชิงเทรา!I150"")+IMPORTRANGE(""https://docs.google.com/spreadsheets/d/11tr1B-Bhyr79v2bkwVh5h_fR-PStkgjlZtkrZpYurG0/"&amp;"edit?usp=sharing"",""ชลบุรี!I150"")+IMPORTRANGE(""https://docs.google.com/spreadsheets/d/1hh-FVnSX0vozXhGluamEcS54Dw9_zqW0N7qJUWgJ0Sw/edit?usp=sharing"",""ชัยนาท!I150"")+IMPORTRANGE(""https://docs.google.com/spreadsheets/d/1jkqa6GXxSacMcY1eN8AHjMNJ_7dDXMJ"&amp;"VRLDlaFSOdPM/edit?usp=sharing"",""ตราด!I150"")+IMPORTRANGE(""https://docs.google.com/spreadsheets/d/18hSgUJ3VwClqi_qtULmmW3cLr0oe3OKaSYoKzdpTsYQ/edit?usp=sharing"",""นครนายก!I150"")+IMPORTRANGE(""https://docs.google.com/spreadsheets/d/1YTZo6WM2dQ6Ix6FSdnL"&amp;"5P7uVnVKu40sxZu975tgG10E/edit?usp=sharing"",""นครปฐม!I150"")+IMPORTRANGE(""https://docs.google.com/spreadsheets/d/1OYoGg4WDg5RIzwGeB10padOxJF9E_Vljuvvct_M7RDo/edit?usp=sharing"",""ปทุมธานี!I150"")+IMPORTRANGE(""https://docs.google.com/spreadsheets/d/1GbCI"&amp;"E4D4wk9FUozzqk7SxfDMxDVBwVmI5zcaVUSzKAc/edit?usp=sharing"",""ประจวบคีรีขันธ์!I150"")+IMPORTRANGE(""https://docs.google.com/spreadsheets/d/1vVf6wykvW_lAyu7Yo9L4hUTqHqIeP_qcVuxCtosJEbg/edit?usp=sharing"",""ปราจีนบุรี!I150"")+IMPORTRANGE(""https://docs.googl"&amp;"e.com/spreadsheets/d/1BIDqLLg5jk3v59G8NlR8rk5xfQDKne0sAvZHSj7TI6I/edit?usp=sharing"",""พระนครศรีอยุธยา!I150"")+IMPORTRANGE(""https://docs.google.com/spreadsheets/d/1YXvxf8Yu6_rV4hTBrwMqAcAnv6DfhUxh5emyM3CJp_w/edit?usp=sharing"",""เพชรบุรี!I150"")+IMPORTRA"&amp;"NGE(""https://docs.google.com/spreadsheets/d/19KBlQQs7uwvsao6t2n-KvW3Ax8J8uRRfZPq1zPbXgKc/edit?usp=sharing"",""ระยอง!I150"")+IMPORTRANGE(""https://docs.google.com/spreadsheets/d/1jQ6P4QcrGM89YfqcC_PxOHGCMq5ezhucwJd8ci-NHng/edit?usp=sharing"",""ราชบุรี!I15"&amp;"0"")+IMPORTRANGE(""https://docs.google.com/spreadsheets/d/1lufeA2cfFqM-elVq2hznhDzC6Pr7wkJ9ZG_sYNGCMCU/edit?usp=sharing"",""ลพบุรี!I150"")+IMPORTRANGE(""https://docs.google.com/spreadsheets/d/10oOiF7loTyfsTkbd4MpaIm0HQ9SwB7IYHdIUvt-U1Uc/edit?usp=sharing"""&amp;",""สระแก้ว!I150"")+IMPORTRANGE(""https://docs.google.com/spreadsheets/d/1xmPlrr1QbdSIKvl1dWUl9K4PjAfSL9oeMr_37QVzcxc/edit?usp=sharing"",""สระบุรี!I150"")+IMPORTRANGE(""https://docs.google.com/spreadsheets/d/1j51vR6CYVGhABJpv6tkstgok82RLpXieLzW1yOY5rHw/edi"&amp;"t?usp=sharing"",""สิงห์บุรี!I150"")+IMPORTRANGE(""https://docs.google.com/spreadsheets/d/1H1EalTWKUSzO4Z1-1CwzoDUaVffgrThEBe2sl74kKG0/edit?usp=sharing"",""สุพรรณบุรี!I150"")+IMPORTRANGE(""https://docs.google.com/spreadsheets/d/1BmIruG_sIrJLYao_Pdr7zVArWsf"&amp;"oBt2692TMi6x_854/edit?usp=sharing"",""อ่างทอง!I150"")"),50)</f>
        <v>50</v>
      </c>
      <c r="J150" s="232">
        <f ca="1">IFERROR(__xludf.DUMMYFUNCTION("IMPORTRANGE(""https://docs.google.com/spreadsheets/d/13wPX838HrBrQMCywv1BsuMkt4PEKTChp52zj44s2izQ/edit?usp=sharing"",""กาญจนบุรี!J150"")+IMPORTRANGE(""https://docs.google.com/spreadsheets/d/1ddFKvqj1W1NEiWytbGlB1zMx_ykJDVtmfEQ-6-lIUBA/edit?usp=sharing"","&amp;"""จันทบุรี!J150"")+IMPORTRANGE(""https://docs.google.com/spreadsheets/d/1T1PQvRODqOBZk8BRht_U031fIS1beLA0Ub2CEytj2q0/edit?usp=sharing"",""ฉะเชิงเทรา!J150"")+IMPORTRANGE(""https://docs.google.com/spreadsheets/d/11tr1B-Bhyr79v2bkwVh5h_fR-PStkgjlZtkrZpYurG0/"&amp;"edit?usp=sharing"",""ชลบุรี!J150"")+IMPORTRANGE(""https://docs.google.com/spreadsheets/d/1hh-FVnSX0vozXhGluamEcS54Dw9_zqW0N7qJUWgJ0Sw/edit?usp=sharing"",""ชัยนาท!J150"")+IMPORTRANGE(""https://docs.google.com/spreadsheets/d/1jkqa6GXxSacMcY1eN8AHjMNJ_7dDXMJ"&amp;"VRLDlaFSOdPM/edit?usp=sharing"",""ตราด!J150"")+IMPORTRANGE(""https://docs.google.com/spreadsheets/d/18hSgUJ3VwClqi_qtULmmW3cLr0oe3OKaSYoKzdpTsYQ/edit?usp=sharing"",""นครนายก!J150"")+IMPORTRANGE(""https://docs.google.com/spreadsheets/d/1YTZo6WM2dQ6Ix6FSdnL"&amp;"5P7uVnVKu40sxZu975tgG10E/edit?usp=sharing"",""นครปฐม!J150"")+IMPORTRANGE(""https://docs.google.com/spreadsheets/d/1OYoGg4WDg5RIzwGeB10padOxJF9E_Vljuvvct_M7RDo/edit?usp=sharing"",""ปทุมธานี!J150"")+IMPORTRANGE(""https://docs.google.com/spreadsheets/d/1GbCI"&amp;"E4D4wk9FUozzqk7SxfDMxDVBwVmI5zcaVUSzKAc/edit?usp=sharing"",""ประจวบคีรีขันธ์!J150"")+IMPORTRANGE(""https://docs.google.com/spreadsheets/d/1vVf6wykvW_lAyu7Yo9L4hUTqHqIeP_qcVuxCtosJEbg/edit?usp=sharing"",""ปราจีนบุรี!J150"")+IMPORTRANGE(""https://docs.googl"&amp;"e.com/spreadsheets/d/1BIDqLLg5jk3v59G8NlR8rk5xfQDKne0sAvZHSj7TI6I/edit?usp=sharing"",""พระนครศรีอยุธยา!J150"")+IMPORTRANGE(""https://docs.google.com/spreadsheets/d/1YXvxf8Yu6_rV4hTBrwMqAcAnv6DfhUxh5emyM3CJp_w/edit?usp=sharing"",""เพชรบุรี!J150"")+IMPORTRA"&amp;"NGE(""https://docs.google.com/spreadsheets/d/19KBlQQs7uwvsao6t2n-KvW3Ax8J8uRRfZPq1zPbXgKc/edit?usp=sharing"",""ระยอง!J150"")+IMPORTRANGE(""https://docs.google.com/spreadsheets/d/1jQ6P4QcrGM89YfqcC_PxOHGCMq5ezhucwJd8ci-NHng/edit?usp=sharing"",""ราชบุรี!J15"&amp;"0"")+IMPORTRANGE(""https://docs.google.com/spreadsheets/d/1lufeA2cfFqM-elVq2hznhDzC6Pr7wkJ9ZG_sYNGCMCU/edit?usp=sharing"",""ลพบุรี!J150"")+IMPORTRANGE(""https://docs.google.com/spreadsheets/d/10oOiF7loTyfsTkbd4MpaIm0HQ9SwB7IYHdIUvt-U1Uc/edit?usp=sharing"""&amp;",""สระแก้ว!J150"")+IMPORTRANGE(""https://docs.google.com/spreadsheets/d/1xmPlrr1QbdSIKvl1dWUl9K4PjAfSL9oeMr_37QVzcxc/edit?usp=sharing"",""สระบุรี!J150"")+IMPORTRANGE(""https://docs.google.com/spreadsheets/d/1j51vR6CYVGhABJpv6tkstgok82RLpXieLzW1yOY5rHw/edi"&amp;"t?usp=sharing"",""สิงห์บุรี!J150"")+IMPORTRANGE(""https://docs.google.com/spreadsheets/d/1H1EalTWKUSzO4Z1-1CwzoDUaVffgrThEBe2sl74kKG0/edit?usp=sharing"",""สุพรรณบุรี!J150"")+IMPORTRANGE(""https://docs.google.com/spreadsheets/d/1BmIruG_sIrJLYao_Pdr7zVArWsf"&amp;"oBt2692TMi6x_854/edit?usp=sharing"",""อ่างทอง!J150"")"),0)</f>
        <v>0</v>
      </c>
      <c r="K150" s="69">
        <f t="shared" ref="K150:K154" ca="1" si="72">IF(I150&gt;0,J150*100/I150,0)</f>
        <v>0</v>
      </c>
      <c r="L150" s="68"/>
      <c r="M150" s="68"/>
      <c r="N150" s="68"/>
      <c r="O150" s="68"/>
      <c r="P150" s="68"/>
    </row>
    <row r="151" spans="1:16" ht="18.75" x14ac:dyDescent="0.25">
      <c r="A151" s="228"/>
      <c r="B151" s="63"/>
      <c r="C151" s="63"/>
      <c r="D151" s="229"/>
      <c r="E151" s="233"/>
      <c r="F151" s="63"/>
      <c r="G151" s="65"/>
      <c r="H151" s="234" t="s">
        <v>56</v>
      </c>
      <c r="I151" s="235">
        <f ca="1">IFERROR(__xludf.DUMMYFUNCTION("IMPORTRANGE(""https://docs.google.com/spreadsheets/d/13wPX838HrBrQMCywv1BsuMkt4PEKTChp52zj44s2izQ/edit?usp=sharing"",""กาญจนบุรี!I151"")+IMPORTRANGE(""https://docs.google.com/spreadsheets/d/1ddFKvqj1W1NEiWytbGlB1zMx_ykJDVtmfEQ-6-lIUBA/edit?usp=sharing"","&amp;"""จันทบุรี!I151"")+IMPORTRANGE(""https://docs.google.com/spreadsheets/d/1T1PQvRODqOBZk8BRht_U031fIS1beLA0Ub2CEytj2q0/edit?usp=sharing"",""ฉะเชิงเทรา!I151"")+IMPORTRANGE(""https://docs.google.com/spreadsheets/d/11tr1B-Bhyr79v2bkwVh5h_fR-PStkgjlZtkrZpYurG0/"&amp;"edit?usp=sharing"",""ชลบุรี!I151"")+IMPORTRANGE(""https://docs.google.com/spreadsheets/d/1hh-FVnSX0vozXhGluamEcS54Dw9_zqW0N7qJUWgJ0Sw/edit?usp=sharing"",""ชัยนาท!I151"")+IMPORTRANGE(""https://docs.google.com/spreadsheets/d/1jkqa6GXxSacMcY1eN8AHjMNJ_7dDXMJ"&amp;"VRLDlaFSOdPM/edit?usp=sharing"",""ตราด!I151"")+IMPORTRANGE(""https://docs.google.com/spreadsheets/d/18hSgUJ3VwClqi_qtULmmW3cLr0oe3OKaSYoKzdpTsYQ/edit?usp=sharing"",""นครนายก!I151"")+IMPORTRANGE(""https://docs.google.com/spreadsheets/d/1YTZo6WM2dQ6Ix6FSdnL"&amp;"5P7uVnVKu40sxZu975tgG10E/edit?usp=sharing"",""นครปฐม!I151"")+IMPORTRANGE(""https://docs.google.com/spreadsheets/d/1OYoGg4WDg5RIzwGeB10padOxJF9E_Vljuvvct_M7RDo/edit?usp=sharing"",""ปทุมธานี!I151"")+IMPORTRANGE(""https://docs.google.com/spreadsheets/d/1GbCI"&amp;"E4D4wk9FUozzqk7SxfDMxDVBwVmI5zcaVUSzKAc/edit?usp=sharing"",""ประจวบคีรีขันธ์!I151"")+IMPORTRANGE(""https://docs.google.com/spreadsheets/d/1vVf6wykvW_lAyu7Yo9L4hUTqHqIeP_qcVuxCtosJEbg/edit?usp=sharing"",""ปราจีนบุรี!I151"")+IMPORTRANGE(""https://docs.googl"&amp;"e.com/spreadsheets/d/1BIDqLLg5jk3v59G8NlR8rk5xfQDKne0sAvZHSj7TI6I/edit?usp=sharing"",""พระนครศรีอยุธยา!I151"")+IMPORTRANGE(""https://docs.google.com/spreadsheets/d/1YXvxf8Yu6_rV4hTBrwMqAcAnv6DfhUxh5emyM3CJp_w/edit?usp=sharing"",""เพชรบุรี!I151"")+IMPORTRA"&amp;"NGE(""https://docs.google.com/spreadsheets/d/19KBlQQs7uwvsao6t2n-KvW3Ax8J8uRRfZPq1zPbXgKc/edit?usp=sharing"",""ระยอง!I151"")+IMPORTRANGE(""https://docs.google.com/spreadsheets/d/1jQ6P4QcrGM89YfqcC_PxOHGCMq5ezhucwJd8ci-NHng/edit?usp=sharing"",""ราชบุรี!I15"&amp;"1"")+IMPORTRANGE(""https://docs.google.com/spreadsheets/d/1lufeA2cfFqM-elVq2hznhDzC6Pr7wkJ9ZG_sYNGCMCU/edit?usp=sharing"",""ลพบุรี!I151"")+IMPORTRANGE(""https://docs.google.com/spreadsheets/d/10oOiF7loTyfsTkbd4MpaIm0HQ9SwB7IYHdIUvt-U1Uc/edit?usp=sharing"""&amp;",""สระแก้ว!I151"")+IMPORTRANGE(""https://docs.google.com/spreadsheets/d/1xmPlrr1QbdSIKvl1dWUl9K4PjAfSL9oeMr_37QVzcxc/edit?usp=sharing"",""สระบุรี!I151"")+IMPORTRANGE(""https://docs.google.com/spreadsheets/d/1j51vR6CYVGhABJpv6tkstgok82RLpXieLzW1yOY5rHw/edi"&amp;"t?usp=sharing"",""สิงห์บุรี!I151"")+IMPORTRANGE(""https://docs.google.com/spreadsheets/d/1H1EalTWKUSzO4Z1-1CwzoDUaVffgrThEBe2sl74kKG0/edit?usp=sharing"",""สุพรรณบุรี!I151"")+IMPORTRANGE(""https://docs.google.com/spreadsheets/d/1BmIruG_sIrJLYao_Pdr7zVArWsf"&amp;"oBt2692TMi6x_854/edit?usp=sharing"",""อ่างทอง!I151"")"),5)</f>
        <v>5</v>
      </c>
      <c r="J151" s="235">
        <f ca="1">IFERROR(__xludf.DUMMYFUNCTION("IMPORTRANGE(""https://docs.google.com/spreadsheets/d/13wPX838HrBrQMCywv1BsuMkt4PEKTChp52zj44s2izQ/edit?usp=sharing"",""กาญจนบุรี!J151"")+IMPORTRANGE(""https://docs.google.com/spreadsheets/d/1ddFKvqj1W1NEiWytbGlB1zMx_ykJDVtmfEQ-6-lIUBA/edit?usp=sharing"","&amp;"""จันทบุรี!J151"")+IMPORTRANGE(""https://docs.google.com/spreadsheets/d/1T1PQvRODqOBZk8BRht_U031fIS1beLA0Ub2CEytj2q0/edit?usp=sharing"",""ฉะเชิงเทรา!J151"")+IMPORTRANGE(""https://docs.google.com/spreadsheets/d/11tr1B-Bhyr79v2bkwVh5h_fR-PStkgjlZtkrZpYurG0/"&amp;"edit?usp=sharing"",""ชลบุรี!J151"")+IMPORTRANGE(""https://docs.google.com/spreadsheets/d/1hh-FVnSX0vozXhGluamEcS54Dw9_zqW0N7qJUWgJ0Sw/edit?usp=sharing"",""ชัยนาท!J151"")+IMPORTRANGE(""https://docs.google.com/spreadsheets/d/1jkqa6GXxSacMcY1eN8AHjMNJ_7dDXMJ"&amp;"VRLDlaFSOdPM/edit?usp=sharing"",""ตราด!J151"")+IMPORTRANGE(""https://docs.google.com/spreadsheets/d/18hSgUJ3VwClqi_qtULmmW3cLr0oe3OKaSYoKzdpTsYQ/edit?usp=sharing"",""นครนายก!J151"")+IMPORTRANGE(""https://docs.google.com/spreadsheets/d/1YTZo6WM2dQ6Ix6FSdnL"&amp;"5P7uVnVKu40sxZu975tgG10E/edit?usp=sharing"",""นครปฐม!J151"")+IMPORTRANGE(""https://docs.google.com/spreadsheets/d/1OYoGg4WDg5RIzwGeB10padOxJF9E_Vljuvvct_M7RDo/edit?usp=sharing"",""ปทุมธานี!J151"")+IMPORTRANGE(""https://docs.google.com/spreadsheets/d/1GbCI"&amp;"E4D4wk9FUozzqk7SxfDMxDVBwVmI5zcaVUSzKAc/edit?usp=sharing"",""ประจวบคีรีขันธ์!J151"")+IMPORTRANGE(""https://docs.google.com/spreadsheets/d/1vVf6wykvW_lAyu7Yo9L4hUTqHqIeP_qcVuxCtosJEbg/edit?usp=sharing"",""ปราจีนบุรี!J151"")+IMPORTRANGE(""https://docs.googl"&amp;"e.com/spreadsheets/d/1BIDqLLg5jk3v59G8NlR8rk5xfQDKne0sAvZHSj7TI6I/edit?usp=sharing"",""พระนครศรีอยุธยา!J151"")+IMPORTRANGE(""https://docs.google.com/spreadsheets/d/1YXvxf8Yu6_rV4hTBrwMqAcAnv6DfhUxh5emyM3CJp_w/edit?usp=sharing"",""เพชรบุรี!J151"")+IMPORTRA"&amp;"NGE(""https://docs.google.com/spreadsheets/d/19KBlQQs7uwvsao6t2n-KvW3Ax8J8uRRfZPq1zPbXgKc/edit?usp=sharing"",""ระยอง!J151"")+IMPORTRANGE(""https://docs.google.com/spreadsheets/d/1jQ6P4QcrGM89YfqcC_PxOHGCMq5ezhucwJd8ci-NHng/edit?usp=sharing"",""ราชบุรี!J15"&amp;"1"")+IMPORTRANGE(""https://docs.google.com/spreadsheets/d/1lufeA2cfFqM-elVq2hznhDzC6Pr7wkJ9ZG_sYNGCMCU/edit?usp=sharing"",""ลพบุรี!J151"")+IMPORTRANGE(""https://docs.google.com/spreadsheets/d/10oOiF7loTyfsTkbd4MpaIm0HQ9SwB7IYHdIUvt-U1Uc/edit?usp=sharing"""&amp;",""สระแก้ว!J151"")+IMPORTRANGE(""https://docs.google.com/spreadsheets/d/1xmPlrr1QbdSIKvl1dWUl9K4PjAfSL9oeMr_37QVzcxc/edit?usp=sharing"",""สระบุรี!J151"")+IMPORTRANGE(""https://docs.google.com/spreadsheets/d/1j51vR6CYVGhABJpv6tkstgok82RLpXieLzW1yOY5rHw/edi"&amp;"t?usp=sharing"",""สิงห์บุรี!J151"")+IMPORTRANGE(""https://docs.google.com/spreadsheets/d/1H1EalTWKUSzO4Z1-1CwzoDUaVffgrThEBe2sl74kKG0/edit?usp=sharing"",""สุพรรณบุรี!J151"")+IMPORTRANGE(""https://docs.google.com/spreadsheets/d/1BmIruG_sIrJLYao_Pdr7zVArWsf"&amp;"oBt2692TMi6x_854/edit?usp=sharing"",""อ่างทอง!J151"")"),0)</f>
        <v>0</v>
      </c>
      <c r="K151" s="69">
        <f t="shared" ca="1" si="72"/>
        <v>0</v>
      </c>
      <c r="L151" s="68"/>
      <c r="M151" s="68"/>
      <c r="N151" s="68"/>
      <c r="O151" s="68"/>
      <c r="P151" s="68"/>
    </row>
    <row r="152" spans="1:16" ht="19.5" x14ac:dyDescent="0.3">
      <c r="A152" s="228"/>
      <c r="B152" s="63"/>
      <c r="C152" s="63"/>
      <c r="D152" s="229"/>
      <c r="E152" s="230" t="s">
        <v>59</v>
      </c>
      <c r="F152" s="63"/>
      <c r="G152" s="65"/>
      <c r="H152" s="231" t="s">
        <v>33</v>
      </c>
      <c r="I152" s="232">
        <f ca="1">IFERROR(__xludf.DUMMYFUNCTION("IMPORTRANGE(""https://docs.google.com/spreadsheets/d/13wPX838HrBrQMCywv1BsuMkt4PEKTChp52zj44s2izQ/edit?usp=sharing"",""กาญจนบุรี!I152"")+IMPORTRANGE(""https://docs.google.com/spreadsheets/d/1ddFKvqj1W1NEiWytbGlB1zMx_ykJDVtmfEQ-6-lIUBA/edit?usp=sharing"","&amp;"""จันทบุรี!I152"")+IMPORTRANGE(""https://docs.google.com/spreadsheets/d/1T1PQvRODqOBZk8BRht_U031fIS1beLA0Ub2CEytj2q0/edit?usp=sharing"",""ฉะเชิงเทรา!I152"")+IMPORTRANGE(""https://docs.google.com/spreadsheets/d/11tr1B-Bhyr79v2bkwVh5h_fR-PStkgjlZtkrZpYurG0/"&amp;"edit?usp=sharing"",""ชลบุรี!I152"")+IMPORTRANGE(""https://docs.google.com/spreadsheets/d/1hh-FVnSX0vozXhGluamEcS54Dw9_zqW0N7qJUWgJ0Sw/edit?usp=sharing"",""ชัยนาท!I152"")+IMPORTRANGE(""https://docs.google.com/spreadsheets/d/1jkqa6GXxSacMcY1eN8AHjMNJ_7dDXMJ"&amp;"VRLDlaFSOdPM/edit?usp=sharing"",""ตราด!I152"")+IMPORTRANGE(""https://docs.google.com/spreadsheets/d/18hSgUJ3VwClqi_qtULmmW3cLr0oe3OKaSYoKzdpTsYQ/edit?usp=sharing"",""นครนายก!I152"")+IMPORTRANGE(""https://docs.google.com/spreadsheets/d/1YTZo6WM2dQ6Ix6FSdnL"&amp;"5P7uVnVKu40sxZu975tgG10E/edit?usp=sharing"",""นครปฐม!I152"")+IMPORTRANGE(""https://docs.google.com/spreadsheets/d/1OYoGg4WDg5RIzwGeB10padOxJF9E_Vljuvvct_M7RDo/edit?usp=sharing"",""ปทุมธานี!I152"")+IMPORTRANGE(""https://docs.google.com/spreadsheets/d/1GbCI"&amp;"E4D4wk9FUozzqk7SxfDMxDVBwVmI5zcaVUSzKAc/edit?usp=sharing"",""ประจวบคีรีขันธ์!I152"")+IMPORTRANGE(""https://docs.google.com/spreadsheets/d/1vVf6wykvW_lAyu7Yo9L4hUTqHqIeP_qcVuxCtosJEbg/edit?usp=sharing"",""ปราจีนบุรี!I152"")+IMPORTRANGE(""https://docs.googl"&amp;"e.com/spreadsheets/d/1BIDqLLg5jk3v59G8NlR8rk5xfQDKne0sAvZHSj7TI6I/edit?usp=sharing"",""พระนครศรีอยุธยา!I152"")+IMPORTRANGE(""https://docs.google.com/spreadsheets/d/1YXvxf8Yu6_rV4hTBrwMqAcAnv6DfhUxh5emyM3CJp_w/edit?usp=sharing"",""เพชรบุรี!I152"")+IMPORTRA"&amp;"NGE(""https://docs.google.com/spreadsheets/d/19KBlQQs7uwvsao6t2n-KvW3Ax8J8uRRfZPq1zPbXgKc/edit?usp=sharing"",""ระยอง!I152"")+IMPORTRANGE(""https://docs.google.com/spreadsheets/d/1jQ6P4QcrGM89YfqcC_PxOHGCMq5ezhucwJd8ci-NHng/edit?usp=sharing"",""ราชบุรี!I15"&amp;"2"")+IMPORTRANGE(""https://docs.google.com/spreadsheets/d/1lufeA2cfFqM-elVq2hznhDzC6Pr7wkJ9ZG_sYNGCMCU/edit?usp=sharing"",""ลพบุรี!I152"")+IMPORTRANGE(""https://docs.google.com/spreadsheets/d/10oOiF7loTyfsTkbd4MpaIm0HQ9SwB7IYHdIUvt-U1Uc/edit?usp=sharing"""&amp;",""สระแก้ว!I152"")+IMPORTRANGE(""https://docs.google.com/spreadsheets/d/1xmPlrr1QbdSIKvl1dWUl9K4PjAfSL9oeMr_37QVzcxc/edit?usp=sharing"",""สระบุรี!I152"")+IMPORTRANGE(""https://docs.google.com/spreadsheets/d/1j51vR6CYVGhABJpv6tkstgok82RLpXieLzW1yOY5rHw/edi"&amp;"t?usp=sharing"",""สิงห์บุรี!I152"")+IMPORTRANGE(""https://docs.google.com/spreadsheets/d/1H1EalTWKUSzO4Z1-1CwzoDUaVffgrThEBe2sl74kKG0/edit?usp=sharing"",""สุพรรณบุรี!I152"")+IMPORTRANGE(""https://docs.google.com/spreadsheets/d/1BmIruG_sIrJLYao_Pdr7zVArWsf"&amp;"oBt2692TMi6x_854/edit?usp=sharing"",""อ่างทอง!I152"")"),180)</f>
        <v>180</v>
      </c>
      <c r="J152" s="235">
        <f ca="1">IFERROR(__xludf.DUMMYFUNCTION("IMPORTRANGE(""https://docs.google.com/spreadsheets/d/13wPX838HrBrQMCywv1BsuMkt4PEKTChp52zj44s2izQ/edit?usp=sharing"",""กาญจนบุรี!J152"")+IMPORTRANGE(""https://docs.google.com/spreadsheets/d/1ddFKvqj1W1NEiWytbGlB1zMx_ykJDVtmfEQ-6-lIUBA/edit?usp=sharing"","&amp;"""จันทบุรี!J152"")+IMPORTRANGE(""https://docs.google.com/spreadsheets/d/1T1PQvRODqOBZk8BRht_U031fIS1beLA0Ub2CEytj2q0/edit?usp=sharing"",""ฉะเชิงเทรา!J152"")+IMPORTRANGE(""https://docs.google.com/spreadsheets/d/11tr1B-Bhyr79v2bkwVh5h_fR-PStkgjlZtkrZpYurG0/"&amp;"edit?usp=sharing"",""ชลบุรี!J152"")+IMPORTRANGE(""https://docs.google.com/spreadsheets/d/1hh-FVnSX0vozXhGluamEcS54Dw9_zqW0N7qJUWgJ0Sw/edit?usp=sharing"",""ชัยนาท!J152"")+IMPORTRANGE(""https://docs.google.com/spreadsheets/d/1jkqa6GXxSacMcY1eN8AHjMNJ_7dDXMJ"&amp;"VRLDlaFSOdPM/edit?usp=sharing"",""ตราด!J152"")+IMPORTRANGE(""https://docs.google.com/spreadsheets/d/18hSgUJ3VwClqi_qtULmmW3cLr0oe3OKaSYoKzdpTsYQ/edit?usp=sharing"",""นครนายก!J152"")+IMPORTRANGE(""https://docs.google.com/spreadsheets/d/1YTZo6WM2dQ6Ix6FSdnL"&amp;"5P7uVnVKu40sxZu975tgG10E/edit?usp=sharing"",""นครปฐม!J152"")+IMPORTRANGE(""https://docs.google.com/spreadsheets/d/1OYoGg4WDg5RIzwGeB10padOxJF9E_Vljuvvct_M7RDo/edit?usp=sharing"",""ปทุมธานี!J152"")+IMPORTRANGE(""https://docs.google.com/spreadsheets/d/1GbCI"&amp;"E4D4wk9FUozzqk7SxfDMxDVBwVmI5zcaVUSzKAc/edit?usp=sharing"",""ประจวบคีรีขันธ์!J152"")+IMPORTRANGE(""https://docs.google.com/spreadsheets/d/1vVf6wykvW_lAyu7Yo9L4hUTqHqIeP_qcVuxCtosJEbg/edit?usp=sharing"",""ปราจีนบุรี!J152"")+IMPORTRANGE(""https://docs.googl"&amp;"e.com/spreadsheets/d/1BIDqLLg5jk3v59G8NlR8rk5xfQDKne0sAvZHSj7TI6I/edit?usp=sharing"",""พระนครศรีอยุธยา!J152"")+IMPORTRANGE(""https://docs.google.com/spreadsheets/d/1YXvxf8Yu6_rV4hTBrwMqAcAnv6DfhUxh5emyM3CJp_w/edit?usp=sharing"",""เพชรบุรี!J152"")+IMPORTRA"&amp;"NGE(""https://docs.google.com/spreadsheets/d/19KBlQQs7uwvsao6t2n-KvW3Ax8J8uRRfZPq1zPbXgKc/edit?usp=sharing"",""ระยอง!J152"")+IMPORTRANGE(""https://docs.google.com/spreadsheets/d/1jQ6P4QcrGM89YfqcC_PxOHGCMq5ezhucwJd8ci-NHng/edit?usp=sharing"",""ราชบุรี!J15"&amp;"2"")+IMPORTRANGE(""https://docs.google.com/spreadsheets/d/1lufeA2cfFqM-elVq2hznhDzC6Pr7wkJ9ZG_sYNGCMCU/edit?usp=sharing"",""ลพบุรี!J152"")+IMPORTRANGE(""https://docs.google.com/spreadsheets/d/10oOiF7loTyfsTkbd4MpaIm0HQ9SwB7IYHdIUvt-U1Uc/edit?usp=sharing"""&amp;",""สระแก้ว!J152"")+IMPORTRANGE(""https://docs.google.com/spreadsheets/d/1xmPlrr1QbdSIKvl1dWUl9K4PjAfSL9oeMr_37QVzcxc/edit?usp=sharing"",""สระบุรี!J152"")+IMPORTRANGE(""https://docs.google.com/spreadsheets/d/1j51vR6CYVGhABJpv6tkstgok82RLpXieLzW1yOY5rHw/edi"&amp;"t?usp=sharing"",""สิงห์บุรี!J152"")+IMPORTRANGE(""https://docs.google.com/spreadsheets/d/1H1EalTWKUSzO4Z1-1CwzoDUaVffgrThEBe2sl74kKG0/edit?usp=sharing"",""สุพรรณบุรี!J152"")+IMPORTRANGE(""https://docs.google.com/spreadsheets/d/1BmIruG_sIrJLYao_Pdr7zVArWsf"&amp;"oBt2692TMi6x_854/edit?usp=sharing"",""อ่างทอง!J152"")"),0)</f>
        <v>0</v>
      </c>
      <c r="K152" s="69">
        <f t="shared" ca="1" si="72"/>
        <v>0</v>
      </c>
      <c r="L152" s="68"/>
      <c r="M152" s="68"/>
      <c r="N152" s="68"/>
      <c r="O152" s="68"/>
      <c r="P152" s="68"/>
    </row>
    <row r="153" spans="1:16" ht="19.5" x14ac:dyDescent="0.3">
      <c r="A153" s="228"/>
      <c r="B153" s="63"/>
      <c r="C153" s="63"/>
      <c r="D153" s="233"/>
      <c r="E153" s="236"/>
      <c r="F153" s="63"/>
      <c r="G153" s="65"/>
      <c r="H153" s="234" t="s">
        <v>56</v>
      </c>
      <c r="I153" s="235">
        <f ca="1">IFERROR(__xludf.DUMMYFUNCTION("IMPORTRANGE(""https://docs.google.com/spreadsheets/d/13wPX838HrBrQMCywv1BsuMkt4PEKTChp52zj44s2izQ/edit?usp=sharing"",""กาญจนบุรี!I153"")+IMPORTRANGE(""https://docs.google.com/spreadsheets/d/1ddFKvqj1W1NEiWytbGlB1zMx_ykJDVtmfEQ-6-lIUBA/edit?usp=sharing"","&amp;"""จันทบุรี!I153"")+IMPORTRANGE(""https://docs.google.com/spreadsheets/d/1T1PQvRODqOBZk8BRht_U031fIS1beLA0Ub2CEytj2q0/edit?usp=sharing"",""ฉะเชิงเทรา!I153"")+IMPORTRANGE(""https://docs.google.com/spreadsheets/d/11tr1B-Bhyr79v2bkwVh5h_fR-PStkgjlZtkrZpYurG0/"&amp;"edit?usp=sharing"",""ชลบุรี!I153"")+IMPORTRANGE(""https://docs.google.com/spreadsheets/d/1hh-FVnSX0vozXhGluamEcS54Dw9_zqW0N7qJUWgJ0Sw/edit?usp=sharing"",""ชัยนาท!I153"")+IMPORTRANGE(""https://docs.google.com/spreadsheets/d/1jkqa6GXxSacMcY1eN8AHjMNJ_7dDXMJ"&amp;"VRLDlaFSOdPM/edit?usp=sharing"",""ตราด!I153"")+IMPORTRANGE(""https://docs.google.com/spreadsheets/d/18hSgUJ3VwClqi_qtULmmW3cLr0oe3OKaSYoKzdpTsYQ/edit?usp=sharing"",""นครนายก!I153"")+IMPORTRANGE(""https://docs.google.com/spreadsheets/d/1YTZo6WM2dQ6Ix6FSdnL"&amp;"5P7uVnVKu40sxZu975tgG10E/edit?usp=sharing"",""นครปฐม!I153"")+IMPORTRANGE(""https://docs.google.com/spreadsheets/d/1OYoGg4WDg5RIzwGeB10padOxJF9E_Vljuvvct_M7RDo/edit?usp=sharing"",""ปทุมธานี!I153"")+IMPORTRANGE(""https://docs.google.com/spreadsheets/d/1GbCI"&amp;"E4D4wk9FUozzqk7SxfDMxDVBwVmI5zcaVUSzKAc/edit?usp=sharing"",""ประจวบคีรีขันธ์!I153"")+IMPORTRANGE(""https://docs.google.com/spreadsheets/d/1vVf6wykvW_lAyu7Yo9L4hUTqHqIeP_qcVuxCtosJEbg/edit?usp=sharing"",""ปราจีนบุรี!I153"")+IMPORTRANGE(""https://docs.googl"&amp;"e.com/spreadsheets/d/1BIDqLLg5jk3v59G8NlR8rk5xfQDKne0sAvZHSj7TI6I/edit?usp=sharing"",""พระนครศรีอยุธยา!I153"")+IMPORTRANGE(""https://docs.google.com/spreadsheets/d/1YXvxf8Yu6_rV4hTBrwMqAcAnv6DfhUxh5emyM3CJp_w/edit?usp=sharing"",""เพชรบุรี!I153"")+IMPORTRA"&amp;"NGE(""https://docs.google.com/spreadsheets/d/19KBlQQs7uwvsao6t2n-KvW3Ax8J8uRRfZPq1zPbXgKc/edit?usp=sharing"",""ระยอง!I153"")+IMPORTRANGE(""https://docs.google.com/spreadsheets/d/1jQ6P4QcrGM89YfqcC_PxOHGCMq5ezhucwJd8ci-NHng/edit?usp=sharing"",""ราชบุรี!I15"&amp;"3"")+IMPORTRANGE(""https://docs.google.com/spreadsheets/d/1lufeA2cfFqM-elVq2hznhDzC6Pr7wkJ9ZG_sYNGCMCU/edit?usp=sharing"",""ลพบุรี!I153"")+IMPORTRANGE(""https://docs.google.com/spreadsheets/d/10oOiF7loTyfsTkbd4MpaIm0HQ9SwB7IYHdIUvt-U1Uc/edit?usp=sharing"""&amp;",""สระแก้ว!I153"")+IMPORTRANGE(""https://docs.google.com/spreadsheets/d/1xmPlrr1QbdSIKvl1dWUl9K4PjAfSL9oeMr_37QVzcxc/edit?usp=sharing"",""สระบุรี!I153"")+IMPORTRANGE(""https://docs.google.com/spreadsheets/d/1j51vR6CYVGhABJpv6tkstgok82RLpXieLzW1yOY5rHw/edi"&amp;"t?usp=sharing"",""สิงห์บุรี!I153"")+IMPORTRANGE(""https://docs.google.com/spreadsheets/d/1H1EalTWKUSzO4Z1-1CwzoDUaVffgrThEBe2sl74kKG0/edit?usp=sharing"",""สุพรรณบุรี!I153"")+IMPORTRANGE(""https://docs.google.com/spreadsheets/d/1BmIruG_sIrJLYao_Pdr7zVArWsf"&amp;"oBt2692TMi6x_854/edit?usp=sharing"",""อ่างทอง!I153"")"),18)</f>
        <v>18</v>
      </c>
      <c r="J153" s="235">
        <f ca="1">IFERROR(__xludf.DUMMYFUNCTION("IMPORTRANGE(""https://docs.google.com/spreadsheets/d/13wPX838HrBrQMCywv1BsuMkt4PEKTChp52zj44s2izQ/edit?usp=sharing"",""กาญจนบุรี!J153"")+IMPORTRANGE(""https://docs.google.com/spreadsheets/d/1ddFKvqj1W1NEiWytbGlB1zMx_ykJDVtmfEQ-6-lIUBA/edit?usp=sharing"","&amp;"""จันทบุรี!J153"")+IMPORTRANGE(""https://docs.google.com/spreadsheets/d/1T1PQvRODqOBZk8BRht_U031fIS1beLA0Ub2CEytj2q0/edit?usp=sharing"",""ฉะเชิงเทรา!J153"")+IMPORTRANGE(""https://docs.google.com/spreadsheets/d/11tr1B-Bhyr79v2bkwVh5h_fR-PStkgjlZtkrZpYurG0/"&amp;"edit?usp=sharing"",""ชลบุรี!J153"")+IMPORTRANGE(""https://docs.google.com/spreadsheets/d/1hh-FVnSX0vozXhGluamEcS54Dw9_zqW0N7qJUWgJ0Sw/edit?usp=sharing"",""ชัยนาท!J153"")+IMPORTRANGE(""https://docs.google.com/spreadsheets/d/1jkqa6GXxSacMcY1eN8AHjMNJ_7dDXMJ"&amp;"VRLDlaFSOdPM/edit?usp=sharing"",""ตราด!J153"")+IMPORTRANGE(""https://docs.google.com/spreadsheets/d/18hSgUJ3VwClqi_qtULmmW3cLr0oe3OKaSYoKzdpTsYQ/edit?usp=sharing"",""นครนายก!J153"")+IMPORTRANGE(""https://docs.google.com/spreadsheets/d/1YTZo6WM2dQ6Ix6FSdnL"&amp;"5P7uVnVKu40sxZu975tgG10E/edit?usp=sharing"",""นครปฐม!J153"")+IMPORTRANGE(""https://docs.google.com/spreadsheets/d/1OYoGg4WDg5RIzwGeB10padOxJF9E_Vljuvvct_M7RDo/edit?usp=sharing"",""ปทุมธานี!J153"")+IMPORTRANGE(""https://docs.google.com/spreadsheets/d/1GbCI"&amp;"E4D4wk9FUozzqk7SxfDMxDVBwVmI5zcaVUSzKAc/edit?usp=sharing"",""ประจวบคีรีขันธ์!J153"")+IMPORTRANGE(""https://docs.google.com/spreadsheets/d/1vVf6wykvW_lAyu7Yo9L4hUTqHqIeP_qcVuxCtosJEbg/edit?usp=sharing"",""ปราจีนบุรี!J153"")+IMPORTRANGE(""https://docs.googl"&amp;"e.com/spreadsheets/d/1BIDqLLg5jk3v59G8NlR8rk5xfQDKne0sAvZHSj7TI6I/edit?usp=sharing"",""พระนครศรีอยุธยา!J153"")+IMPORTRANGE(""https://docs.google.com/spreadsheets/d/1YXvxf8Yu6_rV4hTBrwMqAcAnv6DfhUxh5emyM3CJp_w/edit?usp=sharing"",""เพชรบุรี!J153"")+IMPORTRA"&amp;"NGE(""https://docs.google.com/spreadsheets/d/19KBlQQs7uwvsao6t2n-KvW3Ax8J8uRRfZPq1zPbXgKc/edit?usp=sharing"",""ระยอง!J153"")+IMPORTRANGE(""https://docs.google.com/spreadsheets/d/1jQ6P4QcrGM89YfqcC_PxOHGCMq5ezhucwJd8ci-NHng/edit?usp=sharing"",""ราชบุรี!J15"&amp;"3"")+IMPORTRANGE(""https://docs.google.com/spreadsheets/d/1lufeA2cfFqM-elVq2hznhDzC6Pr7wkJ9ZG_sYNGCMCU/edit?usp=sharing"",""ลพบุรี!J153"")+IMPORTRANGE(""https://docs.google.com/spreadsheets/d/10oOiF7loTyfsTkbd4MpaIm0HQ9SwB7IYHdIUvt-U1Uc/edit?usp=sharing"""&amp;",""สระแก้ว!J153"")+IMPORTRANGE(""https://docs.google.com/spreadsheets/d/1xmPlrr1QbdSIKvl1dWUl9K4PjAfSL9oeMr_37QVzcxc/edit?usp=sharing"",""สระบุรี!J153"")+IMPORTRANGE(""https://docs.google.com/spreadsheets/d/1j51vR6CYVGhABJpv6tkstgok82RLpXieLzW1yOY5rHw/edi"&amp;"t?usp=sharing"",""สิงห์บุรี!J153"")+IMPORTRANGE(""https://docs.google.com/spreadsheets/d/1H1EalTWKUSzO4Z1-1CwzoDUaVffgrThEBe2sl74kKG0/edit?usp=sharing"",""สุพรรณบุรี!J153"")+IMPORTRANGE(""https://docs.google.com/spreadsheets/d/1BmIruG_sIrJLYao_Pdr7zVArWsf"&amp;"oBt2692TMi6x_854/edit?usp=sharing"",""อ่างทอง!J153"")"),0)</f>
        <v>0</v>
      </c>
      <c r="K153" s="69">
        <f t="shared" ca="1" si="72"/>
        <v>0</v>
      </c>
      <c r="L153" s="68"/>
      <c r="M153" s="68"/>
      <c r="N153" s="68"/>
      <c r="O153" s="68"/>
      <c r="P153" s="68"/>
    </row>
    <row r="154" spans="1:16" ht="18.75" x14ac:dyDescent="0.25">
      <c r="A154" s="237"/>
      <c r="B154" s="238"/>
      <c r="C154" s="238"/>
      <c r="D154" s="239" t="s">
        <v>60</v>
      </c>
      <c r="E154" s="238"/>
      <c r="F154" s="238"/>
      <c r="G154" s="240"/>
      <c r="H154" s="241" t="s">
        <v>54</v>
      </c>
      <c r="I154" s="242">
        <f ca="1">IFERROR(__xludf.DUMMYFUNCTION("IMPORTRANGE(""https://docs.google.com/spreadsheets/d/13wPX838HrBrQMCywv1BsuMkt4PEKTChp52zj44s2izQ/edit?usp=sharing"",""กาญจนบุรี!I154"")+IMPORTRANGE(""https://docs.google.com/spreadsheets/d/1ddFKvqj1W1NEiWytbGlB1zMx_ykJDVtmfEQ-6-lIUBA/edit?usp=sharing"","&amp;"""จันทบุรี!I154"")+IMPORTRANGE(""https://docs.google.com/spreadsheets/d/1T1PQvRODqOBZk8BRht_U031fIS1beLA0Ub2CEytj2q0/edit?usp=sharing"",""ฉะเชิงเทรา!I154"")+IMPORTRANGE(""https://docs.google.com/spreadsheets/d/11tr1B-Bhyr79v2bkwVh5h_fR-PStkgjlZtkrZpYurG0/"&amp;"edit?usp=sharing"",""ชลบุรี!I154"")+IMPORTRANGE(""https://docs.google.com/spreadsheets/d/1hh-FVnSX0vozXhGluamEcS54Dw9_zqW0N7qJUWgJ0Sw/edit?usp=sharing"",""ชัยนาท!I154"")+IMPORTRANGE(""https://docs.google.com/spreadsheets/d/1jkqa6GXxSacMcY1eN8AHjMNJ_7dDXMJ"&amp;"VRLDlaFSOdPM/edit?usp=sharing"",""ตราด!I154"")+IMPORTRANGE(""https://docs.google.com/spreadsheets/d/18hSgUJ3VwClqi_qtULmmW3cLr0oe3OKaSYoKzdpTsYQ/edit?usp=sharing"",""นครนายก!I154"")+IMPORTRANGE(""https://docs.google.com/spreadsheets/d/1YTZo6WM2dQ6Ix6FSdnL"&amp;"5P7uVnVKu40sxZu975tgG10E/edit?usp=sharing"",""นครปฐม!I154"")+IMPORTRANGE(""https://docs.google.com/spreadsheets/d/1OYoGg4WDg5RIzwGeB10padOxJF9E_Vljuvvct_M7RDo/edit?usp=sharing"",""ปทุมธานี!I154"")+IMPORTRANGE(""https://docs.google.com/spreadsheets/d/1GbCI"&amp;"E4D4wk9FUozzqk7SxfDMxDVBwVmI5zcaVUSzKAc/edit?usp=sharing"",""ประจวบคีรีขันธ์!I154"")+IMPORTRANGE(""https://docs.google.com/spreadsheets/d/1vVf6wykvW_lAyu7Yo9L4hUTqHqIeP_qcVuxCtosJEbg/edit?usp=sharing"",""ปราจีนบุรี!I154"")+IMPORTRANGE(""https://docs.googl"&amp;"e.com/spreadsheets/d/1BIDqLLg5jk3v59G8NlR8rk5xfQDKne0sAvZHSj7TI6I/edit?usp=sharing"",""พระนครศรีอยุธยา!I154"")+IMPORTRANGE(""https://docs.google.com/spreadsheets/d/1YXvxf8Yu6_rV4hTBrwMqAcAnv6DfhUxh5emyM3CJp_w/edit?usp=sharing"",""เพชรบุรี!I154"")+IMPORTRA"&amp;"NGE(""https://docs.google.com/spreadsheets/d/19KBlQQs7uwvsao6t2n-KvW3Ax8J8uRRfZPq1zPbXgKc/edit?usp=sharing"",""ระยอง!I154"")+IMPORTRANGE(""https://docs.google.com/spreadsheets/d/1jQ6P4QcrGM89YfqcC_PxOHGCMq5ezhucwJd8ci-NHng/edit?usp=sharing"",""ราชบุรี!I15"&amp;"4"")+IMPORTRANGE(""https://docs.google.com/spreadsheets/d/1lufeA2cfFqM-elVq2hznhDzC6Pr7wkJ9ZG_sYNGCMCU/edit?usp=sharing"",""ลพบุรี!I154"")+IMPORTRANGE(""https://docs.google.com/spreadsheets/d/10oOiF7loTyfsTkbd4MpaIm0HQ9SwB7IYHdIUvt-U1Uc/edit?usp=sharing"""&amp;",""สระแก้ว!I154"")+IMPORTRANGE(""https://docs.google.com/spreadsheets/d/1xmPlrr1QbdSIKvl1dWUl9K4PjAfSL9oeMr_37QVzcxc/edit?usp=sharing"",""สระบุรี!I154"")+IMPORTRANGE(""https://docs.google.com/spreadsheets/d/1j51vR6CYVGhABJpv6tkstgok82RLpXieLzW1yOY5rHw/edi"&amp;"t?usp=sharing"",""สิงห์บุรี!I154"")+IMPORTRANGE(""https://docs.google.com/spreadsheets/d/1H1EalTWKUSzO4Z1-1CwzoDUaVffgrThEBe2sl74kKG0/edit?usp=sharing"",""สุพรรณบุรี!I154"")+IMPORTRANGE(""https://docs.google.com/spreadsheets/d/1BmIruG_sIrJLYao_Pdr7zVArWsf"&amp;"oBt2692TMi6x_854/edit?usp=sharing"",""อ่างทอง!I154"")"),5)</f>
        <v>5</v>
      </c>
      <c r="J154" s="243">
        <f ca="1">IFERROR(__xludf.DUMMYFUNCTION("IMPORTRANGE(""https://docs.google.com/spreadsheets/d/13wPX838HrBrQMCywv1BsuMkt4PEKTChp52zj44s2izQ/edit?usp=sharing"",""กาญจนบุรี!J154"")+IMPORTRANGE(""https://docs.google.com/spreadsheets/d/1ddFKvqj1W1NEiWytbGlB1zMx_ykJDVtmfEQ-6-lIUBA/edit?usp=sharing"","&amp;"""จันทบุรี!J154"")+IMPORTRANGE(""https://docs.google.com/spreadsheets/d/1T1PQvRODqOBZk8BRht_U031fIS1beLA0Ub2CEytj2q0/edit?usp=sharing"",""ฉะเชิงเทรา!J154"")+IMPORTRANGE(""https://docs.google.com/spreadsheets/d/11tr1B-Bhyr79v2bkwVh5h_fR-PStkgjlZtkrZpYurG0/"&amp;"edit?usp=sharing"",""ชลบุรี!J154"")+IMPORTRANGE(""https://docs.google.com/spreadsheets/d/1hh-FVnSX0vozXhGluamEcS54Dw9_zqW0N7qJUWgJ0Sw/edit?usp=sharing"",""ชัยนาท!J154"")+IMPORTRANGE(""https://docs.google.com/spreadsheets/d/1jkqa6GXxSacMcY1eN8AHjMNJ_7dDXMJ"&amp;"VRLDlaFSOdPM/edit?usp=sharing"",""ตราด!J154"")+IMPORTRANGE(""https://docs.google.com/spreadsheets/d/18hSgUJ3VwClqi_qtULmmW3cLr0oe3OKaSYoKzdpTsYQ/edit?usp=sharing"",""นครนายก!J154"")+IMPORTRANGE(""https://docs.google.com/spreadsheets/d/1YTZo6WM2dQ6Ix6FSdnL"&amp;"5P7uVnVKu40sxZu975tgG10E/edit?usp=sharing"",""นครปฐม!J154"")+IMPORTRANGE(""https://docs.google.com/spreadsheets/d/1OYoGg4WDg5RIzwGeB10padOxJF9E_Vljuvvct_M7RDo/edit?usp=sharing"",""ปทุมธานี!J154"")+IMPORTRANGE(""https://docs.google.com/spreadsheets/d/1GbCI"&amp;"E4D4wk9FUozzqk7SxfDMxDVBwVmI5zcaVUSzKAc/edit?usp=sharing"",""ประจวบคีรีขันธ์!J154"")+IMPORTRANGE(""https://docs.google.com/spreadsheets/d/1vVf6wykvW_lAyu7Yo9L4hUTqHqIeP_qcVuxCtosJEbg/edit?usp=sharing"",""ปราจีนบุรี!J154"")+IMPORTRANGE(""https://docs.googl"&amp;"e.com/spreadsheets/d/1BIDqLLg5jk3v59G8NlR8rk5xfQDKne0sAvZHSj7TI6I/edit?usp=sharing"",""พระนครศรีอยุธยา!J154"")+IMPORTRANGE(""https://docs.google.com/spreadsheets/d/1YXvxf8Yu6_rV4hTBrwMqAcAnv6DfhUxh5emyM3CJp_w/edit?usp=sharing"",""เพชรบุรี!J154"")+IMPORTRA"&amp;"NGE(""https://docs.google.com/spreadsheets/d/19KBlQQs7uwvsao6t2n-KvW3Ax8J8uRRfZPq1zPbXgKc/edit?usp=sharing"",""ระยอง!J154"")+IMPORTRANGE(""https://docs.google.com/spreadsheets/d/1jQ6P4QcrGM89YfqcC_PxOHGCMq5ezhucwJd8ci-NHng/edit?usp=sharing"",""ราชบุรี!J15"&amp;"4"")+IMPORTRANGE(""https://docs.google.com/spreadsheets/d/1lufeA2cfFqM-elVq2hznhDzC6Pr7wkJ9ZG_sYNGCMCU/edit?usp=sharing"",""ลพบุรี!J154"")+IMPORTRANGE(""https://docs.google.com/spreadsheets/d/10oOiF7loTyfsTkbd4MpaIm0HQ9SwB7IYHdIUvt-U1Uc/edit?usp=sharing"""&amp;",""สระแก้ว!J154"")+IMPORTRANGE(""https://docs.google.com/spreadsheets/d/1xmPlrr1QbdSIKvl1dWUl9K4PjAfSL9oeMr_37QVzcxc/edit?usp=sharing"",""สระบุรี!J154"")+IMPORTRANGE(""https://docs.google.com/spreadsheets/d/1j51vR6CYVGhABJpv6tkstgok82RLpXieLzW1yOY5rHw/edi"&amp;"t?usp=sharing"",""สิงห์บุรี!J154"")+IMPORTRANGE(""https://docs.google.com/spreadsheets/d/1H1EalTWKUSzO4Z1-1CwzoDUaVffgrThEBe2sl74kKG0/edit?usp=sharing"",""สุพรรณบุรี!J154"")+IMPORTRANGE(""https://docs.google.com/spreadsheets/d/1BmIruG_sIrJLYao_Pdr7zVArWsf"&amp;"oBt2692TMi6x_854/edit?usp=sharing"",""อ่างทอง!J154"")"),0)</f>
        <v>0</v>
      </c>
      <c r="K154" s="69">
        <f t="shared" ca="1" si="72"/>
        <v>0</v>
      </c>
      <c r="L154" s="244"/>
      <c r="M154" s="244"/>
      <c r="N154" s="244"/>
      <c r="O154" s="244"/>
      <c r="P154" s="244"/>
    </row>
    <row r="155" spans="1:16" ht="19.5" x14ac:dyDescent="0.3">
      <c r="A155" s="245" t="s">
        <v>61</v>
      </c>
      <c r="B155" s="246"/>
      <c r="C155" s="247"/>
      <c r="D155" s="246"/>
      <c r="E155" s="246"/>
      <c r="F155" s="246"/>
      <c r="G155" s="246"/>
      <c r="H155" s="246"/>
      <c r="I155" s="248"/>
      <c r="J155" s="248"/>
      <c r="K155" s="249"/>
      <c r="L155" s="250"/>
      <c r="M155" s="250"/>
      <c r="N155" s="250"/>
      <c r="O155" s="250"/>
      <c r="P155" s="250"/>
    </row>
    <row r="156" spans="1:16" ht="19.5" x14ac:dyDescent="0.3">
      <c r="A156" s="152"/>
      <c r="B156" s="153" t="s">
        <v>62</v>
      </c>
      <c r="C156" s="41"/>
      <c r="D156" s="41"/>
      <c r="E156" s="41"/>
      <c r="F156" s="41"/>
      <c r="G156" s="44"/>
      <c r="H156" s="251" t="s">
        <v>33</v>
      </c>
      <c r="I156" s="156">
        <f ca="1">I167</f>
        <v>105</v>
      </c>
      <c r="J156" s="156">
        <f>J168</f>
        <v>0</v>
      </c>
      <c r="K156" s="48">
        <f ca="1">IF(I156&gt;0,J156*100/I156,0)</f>
        <v>0</v>
      </c>
      <c r="L156" s="47"/>
      <c r="M156" s="47"/>
      <c r="N156" s="47"/>
      <c r="O156" s="47"/>
      <c r="P156" s="47"/>
    </row>
    <row r="157" spans="1:16" ht="19.5" x14ac:dyDescent="0.3">
      <c r="A157" s="157"/>
      <c r="B157" s="53"/>
      <c r="C157" s="158" t="s">
        <v>16</v>
      </c>
      <c r="D157" s="159" t="s">
        <v>17</v>
      </c>
      <c r="E157" s="53"/>
      <c r="F157" s="53"/>
      <c r="G157" s="55"/>
      <c r="H157" s="160" t="s">
        <v>12</v>
      </c>
      <c r="I157" s="57"/>
      <c r="J157" s="57"/>
      <c r="K157" s="58"/>
      <c r="L157" s="161">
        <f t="shared" ref="L157:N157" ca="1" si="73">L158+L159</f>
        <v>31500</v>
      </c>
      <c r="M157" s="161">
        <f t="shared" ca="1" si="73"/>
        <v>0</v>
      </c>
      <c r="N157" s="161">
        <f t="shared" ca="1" si="73"/>
        <v>0</v>
      </c>
      <c r="O157" s="161">
        <f t="shared" ref="O157:O165" ca="1" si="74">IF(L157&gt;0,N157*100/L157,0)</f>
        <v>0</v>
      </c>
      <c r="P157" s="161">
        <f t="shared" ref="P157:P165" ca="1" si="75">IF(M157&gt;0,N157*100/M157,0)</f>
        <v>0</v>
      </c>
    </row>
    <row r="158" spans="1:16" ht="18.75" x14ac:dyDescent="0.25">
      <c r="A158" s="157"/>
      <c r="B158" s="53"/>
      <c r="C158" s="53"/>
      <c r="D158" s="53"/>
      <c r="E158" s="60" t="s">
        <v>18</v>
      </c>
      <c r="F158" s="53"/>
      <c r="G158" s="55"/>
      <c r="H158" s="162" t="s">
        <v>12</v>
      </c>
      <c r="I158" s="57"/>
      <c r="J158" s="57"/>
      <c r="K158" s="58"/>
      <c r="L158" s="59">
        <f t="shared" ref="L158:N158" ca="1" si="76">L161+L164</f>
        <v>0</v>
      </c>
      <c r="M158" s="59">
        <f t="shared" ca="1" si="76"/>
        <v>0</v>
      </c>
      <c r="N158" s="59">
        <f t="shared" ca="1" si="76"/>
        <v>0</v>
      </c>
      <c r="O158" s="59">
        <f t="shared" ca="1" si="74"/>
        <v>0</v>
      </c>
      <c r="P158" s="59">
        <f t="shared" ca="1" si="75"/>
        <v>0</v>
      </c>
    </row>
    <row r="159" spans="1:16" ht="18.75" x14ac:dyDescent="0.25">
      <c r="A159" s="157"/>
      <c r="B159" s="53"/>
      <c r="C159" s="53"/>
      <c r="D159" s="53"/>
      <c r="E159" s="60" t="s">
        <v>19</v>
      </c>
      <c r="F159" s="53"/>
      <c r="G159" s="55"/>
      <c r="H159" s="162" t="s">
        <v>12</v>
      </c>
      <c r="I159" s="57"/>
      <c r="J159" s="57"/>
      <c r="K159" s="58"/>
      <c r="L159" s="59">
        <f t="shared" ref="L159:N159" ca="1" si="77">L162+L165</f>
        <v>31500</v>
      </c>
      <c r="M159" s="59">
        <f t="shared" ca="1" si="77"/>
        <v>0</v>
      </c>
      <c r="N159" s="59">
        <f t="shared" ca="1" si="77"/>
        <v>0</v>
      </c>
      <c r="O159" s="59">
        <f t="shared" ca="1" si="74"/>
        <v>0</v>
      </c>
      <c r="P159" s="59">
        <f t="shared" ca="1" si="75"/>
        <v>0</v>
      </c>
    </row>
    <row r="160" spans="1:16" ht="18.75" x14ac:dyDescent="0.25">
      <c r="A160" s="157"/>
      <c r="B160" s="53"/>
      <c r="C160" s="53"/>
      <c r="D160" s="54" t="s">
        <v>20</v>
      </c>
      <c r="E160" s="53"/>
      <c r="F160" s="53"/>
      <c r="G160" s="55"/>
      <c r="H160" s="163" t="s">
        <v>12</v>
      </c>
      <c r="I160" s="164"/>
      <c r="J160" s="164"/>
      <c r="K160" s="165"/>
      <c r="L160" s="59">
        <f t="shared" ref="L160:N160" ca="1" si="78">L161+L162</f>
        <v>31500</v>
      </c>
      <c r="M160" s="59">
        <f t="shared" ca="1" si="78"/>
        <v>0</v>
      </c>
      <c r="N160" s="59">
        <f t="shared" ca="1" si="78"/>
        <v>0</v>
      </c>
      <c r="O160" s="59">
        <f t="shared" ca="1" si="74"/>
        <v>0</v>
      </c>
      <c r="P160" s="59">
        <f t="shared" ca="1" si="75"/>
        <v>0</v>
      </c>
    </row>
    <row r="161" spans="1:16" ht="18.75" x14ac:dyDescent="0.25">
      <c r="A161" s="157"/>
      <c r="B161" s="53"/>
      <c r="C161" s="53"/>
      <c r="D161" s="53"/>
      <c r="E161" s="60" t="s">
        <v>34</v>
      </c>
      <c r="F161" s="53"/>
      <c r="G161" s="55"/>
      <c r="H161" s="163" t="s">
        <v>12</v>
      </c>
      <c r="I161" s="164"/>
      <c r="J161" s="164"/>
      <c r="K161" s="165"/>
      <c r="L161" s="59">
        <f ca="1">IFERROR(__xludf.DUMMYFUNCTION("IMPORTRANGE(""https://docs.google.com/spreadsheets/d/13wPX838HrBrQMCywv1BsuMkt4PEKTChp52zj44s2izQ/edit?usp=sharing"",""กาญจนบุรี!L161"")+IMPORTRANGE(""https://docs.google.com/spreadsheets/d/1ddFKvqj1W1NEiWytbGlB1zMx_ykJDVtmfEQ-6-lIUBA/edit?usp=sharing"","&amp;"""จันทบุรี!L161"")+IMPORTRANGE(""https://docs.google.com/spreadsheets/d/1T1PQvRODqOBZk8BRht_U031fIS1beLA0Ub2CEytj2q0/edit?usp=sharing"",""ฉะเชิงเทรา!L161"")+IMPORTRANGE(""https://docs.google.com/spreadsheets/d/11tr1B-Bhyr79v2bkwVh5h_fR-PStkgjlZtkrZpYurG0/"&amp;"edit?usp=sharing"",""ชลบุรี!L161"")+IMPORTRANGE(""https://docs.google.com/spreadsheets/d/1hh-FVnSX0vozXhGluamEcS54Dw9_zqW0N7qJUWgJ0Sw/edit?usp=sharing"",""ชัยนาท!L161"")+IMPORTRANGE(""https://docs.google.com/spreadsheets/d/1jkqa6GXxSacMcY1eN8AHjMNJ_7dDXMJ"&amp;"VRLDlaFSOdPM/edit?usp=sharing"",""ตราด!L161"")+IMPORTRANGE(""https://docs.google.com/spreadsheets/d/18hSgUJ3VwClqi_qtULmmW3cLr0oe3OKaSYoKzdpTsYQ/edit?usp=sharing"",""นครนายก!L161"")+IMPORTRANGE(""https://docs.google.com/spreadsheets/d/1YTZo6WM2dQ6Ix6FSdnL"&amp;"5P7uVnVKu40sxZu975tgG10E/edit?usp=sharing"",""นครปฐม!L161"")+IMPORTRANGE(""https://docs.google.com/spreadsheets/d/1OYoGg4WDg5RIzwGeB10padOxJF9E_Vljuvvct_M7RDo/edit?usp=sharing"",""ปทุมธานี!L161"")+IMPORTRANGE(""https://docs.google.com/spreadsheets/d/1GbCI"&amp;"E4D4wk9FUozzqk7SxfDMxDVBwVmI5zcaVUSzKAc/edit?usp=sharing"",""ประจวบคีรีขันธ์!L161"")+IMPORTRANGE(""https://docs.google.com/spreadsheets/d/1vVf6wykvW_lAyu7Yo9L4hUTqHqIeP_qcVuxCtosJEbg/edit?usp=sharing"",""ปราจีนบุรี!L161"")+IMPORTRANGE(""https://docs.googl"&amp;"e.com/spreadsheets/d/1BIDqLLg5jk3v59G8NlR8rk5xfQDKne0sAvZHSj7TI6I/edit?usp=sharing"",""พระนครศรีอยุธยา!L161"")+IMPORTRANGE(""https://docs.google.com/spreadsheets/d/1YXvxf8Yu6_rV4hTBrwMqAcAnv6DfhUxh5emyM3CJp_w/edit?usp=sharing"",""เพชรบุรี!L161"")+IMPORTRA"&amp;"NGE(""https://docs.google.com/spreadsheets/d/19KBlQQs7uwvsao6t2n-KvW3Ax8J8uRRfZPq1zPbXgKc/edit?usp=sharing"",""ระยอง!L161"")+IMPORTRANGE(""https://docs.google.com/spreadsheets/d/1jQ6P4QcrGM89YfqcC_PxOHGCMq5ezhucwJd8ci-NHng/edit?usp=sharing"",""ราชบุรี!L16"&amp;"1"")+IMPORTRANGE(""https://docs.google.com/spreadsheets/d/1lufeA2cfFqM-elVq2hznhDzC6Pr7wkJ9ZG_sYNGCMCU/edit?usp=sharing"",""ลพบุรี!L161"")+IMPORTRANGE(""https://docs.google.com/spreadsheets/d/10oOiF7loTyfsTkbd4MpaIm0HQ9SwB7IYHdIUvt-U1Uc/edit?usp=sharing"""&amp;",""สระแก้ว!L161"")+IMPORTRANGE(""https://docs.google.com/spreadsheets/d/1xmPlrr1QbdSIKvl1dWUl9K4PjAfSL9oeMr_37QVzcxc/edit?usp=sharing"",""สระบุรี!L161"")+IMPORTRANGE(""https://docs.google.com/spreadsheets/d/1j51vR6CYVGhABJpv6tkstgok82RLpXieLzW1yOY5rHw/edi"&amp;"t?usp=sharing"",""สิงห์บุรี!L161"")+IMPORTRANGE(""https://docs.google.com/spreadsheets/d/1H1EalTWKUSzO4Z1-1CwzoDUaVffgrThEBe2sl74kKG0/edit?usp=sharing"",""สุพรรณบุรี!L161"")+IMPORTRANGE(""https://docs.google.com/spreadsheets/d/1BmIruG_sIrJLYao_Pdr7zVArWsf"&amp;"oBt2692TMi6x_854/edit?usp=sharing"",""อ่างทอง!L161"")"),0)</f>
        <v>0</v>
      </c>
      <c r="M161" s="59">
        <f ca="1">IFERROR(__xludf.DUMMYFUNCTION("IMPORTRANGE(""https://docs.google.com/spreadsheets/d/13wPX838HrBrQMCywv1BsuMkt4PEKTChp52zj44s2izQ/edit?usp=sharing"",""กาญจนบุรี!M161"")+IMPORTRANGE(""https://docs.google.com/spreadsheets/d/1ddFKvqj1W1NEiWytbGlB1zMx_ykJDVtmfEQ-6-lIUBA/edit?usp=sharing"","&amp;"""จันทบุรี!M161"")+IMPORTRANGE(""https://docs.google.com/spreadsheets/d/1T1PQvRODqOBZk8BRht_U031fIS1beLA0Ub2CEytj2q0/edit?usp=sharing"",""ฉะเชิงเทรา!M161"")+IMPORTRANGE(""https://docs.google.com/spreadsheets/d/11tr1B-Bhyr79v2bkwVh5h_fR-PStkgjlZtkrZpYurG0/"&amp;"edit?usp=sharing"",""ชลบุรี!M161"")+IMPORTRANGE(""https://docs.google.com/spreadsheets/d/1hh-FVnSX0vozXhGluamEcS54Dw9_zqW0N7qJUWgJ0Sw/edit?usp=sharing"",""ชัยนาท!M161"")+IMPORTRANGE(""https://docs.google.com/spreadsheets/d/1jkqa6GXxSacMcY1eN8AHjMNJ_7dDXMJ"&amp;"VRLDlaFSOdPM/edit?usp=sharing"",""ตราด!M161"")+IMPORTRANGE(""https://docs.google.com/spreadsheets/d/18hSgUJ3VwClqi_qtULmmW3cLr0oe3OKaSYoKzdpTsYQ/edit?usp=sharing"",""นครนายก!M161"")+IMPORTRANGE(""https://docs.google.com/spreadsheets/d/1YTZo6WM2dQ6Ix6FSdnL"&amp;"5P7uVnVKu40sxZu975tgG10E/edit?usp=sharing"",""นครปฐม!M161"")+IMPORTRANGE(""https://docs.google.com/spreadsheets/d/1OYoGg4WDg5RIzwGeB10padOxJF9E_Vljuvvct_M7RDo/edit?usp=sharing"",""ปทุมธานี!M161"")+IMPORTRANGE(""https://docs.google.com/spreadsheets/d/1GbCI"&amp;"E4D4wk9FUozzqk7SxfDMxDVBwVmI5zcaVUSzKAc/edit?usp=sharing"",""ประจวบคีรีขันธ์!M161"")+IMPORTRANGE(""https://docs.google.com/spreadsheets/d/1vVf6wykvW_lAyu7Yo9L4hUTqHqIeP_qcVuxCtosJEbg/edit?usp=sharing"",""ปราจีนบุรี!M161"")+IMPORTRANGE(""https://docs.googl"&amp;"e.com/spreadsheets/d/1BIDqLLg5jk3v59G8NlR8rk5xfQDKne0sAvZHSj7TI6I/edit?usp=sharing"",""พระนครศรีอยุธยา!M161"")+IMPORTRANGE(""https://docs.google.com/spreadsheets/d/1YXvxf8Yu6_rV4hTBrwMqAcAnv6DfhUxh5emyM3CJp_w/edit?usp=sharing"",""เพชรบุรี!M161"")+IMPORTRA"&amp;"NGE(""https://docs.google.com/spreadsheets/d/19KBlQQs7uwvsao6t2n-KvW3Ax8J8uRRfZPq1zPbXgKc/edit?usp=sharing"",""ระยอง!M161"")+IMPORTRANGE(""https://docs.google.com/spreadsheets/d/1jQ6P4QcrGM89YfqcC_PxOHGCMq5ezhucwJd8ci-NHng/edit?usp=sharing"",""ราชบุรี!M16"&amp;"1"")+IMPORTRANGE(""https://docs.google.com/spreadsheets/d/1lufeA2cfFqM-elVq2hznhDzC6Pr7wkJ9ZG_sYNGCMCU/edit?usp=sharing"",""ลพบุรี!M161"")+IMPORTRANGE(""https://docs.google.com/spreadsheets/d/10oOiF7loTyfsTkbd4MpaIm0HQ9SwB7IYHdIUvt-U1Uc/edit?usp=sharing"""&amp;",""สระแก้ว!M161"")+IMPORTRANGE(""https://docs.google.com/spreadsheets/d/1xmPlrr1QbdSIKvl1dWUl9K4PjAfSL9oeMr_37QVzcxc/edit?usp=sharing"",""สระบุรี!M161"")+IMPORTRANGE(""https://docs.google.com/spreadsheets/d/1j51vR6CYVGhABJpv6tkstgok82RLpXieLzW1yOY5rHw/edi"&amp;"t?usp=sharing"",""สิงห์บุรี!M161"")+IMPORTRANGE(""https://docs.google.com/spreadsheets/d/1H1EalTWKUSzO4Z1-1CwzoDUaVffgrThEBe2sl74kKG0/edit?usp=sharing"",""สุพรรณบุรี!M161"")+IMPORTRANGE(""https://docs.google.com/spreadsheets/d/1BmIruG_sIrJLYao_Pdr7zVArWsf"&amp;"oBt2692TMi6x_854/edit?usp=sharing"",""อ่างทอง!M161"")"),0)</f>
        <v>0</v>
      </c>
      <c r="N161" s="59">
        <f ca="1">IFERROR(__xludf.DUMMYFUNCTION("IMPORTRANGE(""https://docs.google.com/spreadsheets/d/13wPX838HrBrQMCywv1BsuMkt4PEKTChp52zj44s2izQ/edit?usp=sharing"",""กาญจนบุรี!N161"")+IMPORTRANGE(""https://docs.google.com/spreadsheets/d/1ddFKvqj1W1NEiWytbGlB1zMx_ykJDVtmfEQ-6-lIUBA/edit?usp=sharing"","&amp;"""จันทบุรี!N161"")+IMPORTRANGE(""https://docs.google.com/spreadsheets/d/1T1PQvRODqOBZk8BRht_U031fIS1beLA0Ub2CEytj2q0/edit?usp=sharing"",""ฉะเชิงเทรา!N161"")+IMPORTRANGE(""https://docs.google.com/spreadsheets/d/11tr1B-Bhyr79v2bkwVh5h_fR-PStkgjlZtkrZpYurG0/"&amp;"edit?usp=sharing"",""ชลบุรี!N161"")+IMPORTRANGE(""https://docs.google.com/spreadsheets/d/1hh-FVnSX0vozXhGluamEcS54Dw9_zqW0N7qJUWgJ0Sw/edit?usp=sharing"",""ชัยนาท!N161"")+IMPORTRANGE(""https://docs.google.com/spreadsheets/d/1jkqa6GXxSacMcY1eN8AHjMNJ_7dDXMJ"&amp;"VRLDlaFSOdPM/edit?usp=sharing"",""ตราด!N161"")+IMPORTRANGE(""https://docs.google.com/spreadsheets/d/18hSgUJ3VwClqi_qtULmmW3cLr0oe3OKaSYoKzdpTsYQ/edit?usp=sharing"",""นครนายก!N161"")+IMPORTRANGE(""https://docs.google.com/spreadsheets/d/1YTZo6WM2dQ6Ix6FSdnL"&amp;"5P7uVnVKu40sxZu975tgG10E/edit?usp=sharing"",""นครปฐม!N161"")+IMPORTRANGE(""https://docs.google.com/spreadsheets/d/1OYoGg4WDg5RIzwGeB10padOxJF9E_Vljuvvct_M7RDo/edit?usp=sharing"",""ปทุมธานี!N161"")+IMPORTRANGE(""https://docs.google.com/spreadsheets/d/1GbCI"&amp;"E4D4wk9FUozzqk7SxfDMxDVBwVmI5zcaVUSzKAc/edit?usp=sharing"",""ประจวบคีรีขันธ์!N161"")+IMPORTRANGE(""https://docs.google.com/spreadsheets/d/1vVf6wykvW_lAyu7Yo9L4hUTqHqIeP_qcVuxCtosJEbg/edit?usp=sharing"",""ปราจีนบุรี!N161"")+IMPORTRANGE(""https://docs.googl"&amp;"e.com/spreadsheets/d/1BIDqLLg5jk3v59G8NlR8rk5xfQDKne0sAvZHSj7TI6I/edit?usp=sharing"",""พระนครศรีอยุธยา!N161"")+IMPORTRANGE(""https://docs.google.com/spreadsheets/d/1YXvxf8Yu6_rV4hTBrwMqAcAnv6DfhUxh5emyM3CJp_w/edit?usp=sharing"",""เพชรบุรี!N161"")+IMPORTRA"&amp;"NGE(""https://docs.google.com/spreadsheets/d/19KBlQQs7uwvsao6t2n-KvW3Ax8J8uRRfZPq1zPbXgKc/edit?usp=sharing"",""ระยอง!N161"")+IMPORTRANGE(""https://docs.google.com/spreadsheets/d/1jQ6P4QcrGM89YfqcC_PxOHGCMq5ezhucwJd8ci-NHng/edit?usp=sharing"",""ราชบุรี!N16"&amp;"1"")+IMPORTRANGE(""https://docs.google.com/spreadsheets/d/1lufeA2cfFqM-elVq2hznhDzC6Pr7wkJ9ZG_sYNGCMCU/edit?usp=sharing"",""ลพบุรี!N161"")+IMPORTRANGE(""https://docs.google.com/spreadsheets/d/10oOiF7loTyfsTkbd4MpaIm0HQ9SwB7IYHdIUvt-U1Uc/edit?usp=sharing"""&amp;",""สระแก้ว!N161"")+IMPORTRANGE(""https://docs.google.com/spreadsheets/d/1xmPlrr1QbdSIKvl1dWUl9K4PjAfSL9oeMr_37QVzcxc/edit?usp=sharing"",""สระบุรี!N161"")+IMPORTRANGE(""https://docs.google.com/spreadsheets/d/1j51vR6CYVGhABJpv6tkstgok82RLpXieLzW1yOY5rHw/edi"&amp;"t?usp=sharing"",""สิงห์บุรี!N161"")+IMPORTRANGE(""https://docs.google.com/spreadsheets/d/1H1EalTWKUSzO4Z1-1CwzoDUaVffgrThEBe2sl74kKG0/edit?usp=sharing"",""สุพรรณบุรี!N161"")+IMPORTRANGE(""https://docs.google.com/spreadsheets/d/1BmIruG_sIrJLYao_Pdr7zVArWsf"&amp;"oBt2692TMi6x_854/edit?usp=sharing"",""อ่างทอง!N161"")"),0)</f>
        <v>0</v>
      </c>
      <c r="O161" s="59">
        <f t="shared" ca="1" si="74"/>
        <v>0</v>
      </c>
      <c r="P161" s="59">
        <f t="shared" ca="1" si="75"/>
        <v>0</v>
      </c>
    </row>
    <row r="162" spans="1:16" ht="18.75" x14ac:dyDescent="0.25">
      <c r="A162" s="157"/>
      <c r="B162" s="53"/>
      <c r="C162" s="53"/>
      <c r="D162" s="53"/>
      <c r="E162" s="60" t="s">
        <v>35</v>
      </c>
      <c r="F162" s="53"/>
      <c r="G162" s="55"/>
      <c r="H162" s="163" t="s">
        <v>12</v>
      </c>
      <c r="I162" s="164"/>
      <c r="J162" s="164"/>
      <c r="K162" s="165"/>
      <c r="L162" s="59">
        <f ca="1">IFERROR(__xludf.DUMMYFUNCTION("IMPORTRANGE(""https://docs.google.com/spreadsheets/d/13wPX838HrBrQMCywv1BsuMkt4PEKTChp52zj44s2izQ/edit?usp=sharing"",""กาญจนบุรี!L162"")+IMPORTRANGE(""https://docs.google.com/spreadsheets/d/1ddFKvqj1W1NEiWytbGlB1zMx_ykJDVtmfEQ-6-lIUBA/edit?usp=sharing"","&amp;"""จันทบุรี!L162"")+IMPORTRANGE(""https://docs.google.com/spreadsheets/d/1T1PQvRODqOBZk8BRht_U031fIS1beLA0Ub2CEytj2q0/edit?usp=sharing"",""ฉะเชิงเทรา!L162"")+IMPORTRANGE(""https://docs.google.com/spreadsheets/d/11tr1B-Bhyr79v2bkwVh5h_fR-PStkgjlZtkrZpYurG0/"&amp;"edit?usp=sharing"",""ชลบุรี!L162"")+IMPORTRANGE(""https://docs.google.com/spreadsheets/d/1hh-FVnSX0vozXhGluamEcS54Dw9_zqW0N7qJUWgJ0Sw/edit?usp=sharing"",""ชัยนาท!L162"")+IMPORTRANGE(""https://docs.google.com/spreadsheets/d/1jkqa6GXxSacMcY1eN8AHjMNJ_7dDXMJ"&amp;"VRLDlaFSOdPM/edit?usp=sharing"",""ตราด!L162"")+IMPORTRANGE(""https://docs.google.com/spreadsheets/d/18hSgUJ3VwClqi_qtULmmW3cLr0oe3OKaSYoKzdpTsYQ/edit?usp=sharing"",""นครนายก!L162"")+IMPORTRANGE(""https://docs.google.com/spreadsheets/d/1YTZo6WM2dQ6Ix6FSdnL"&amp;"5P7uVnVKu40sxZu975tgG10E/edit?usp=sharing"",""นครปฐม!L162"")+IMPORTRANGE(""https://docs.google.com/spreadsheets/d/1OYoGg4WDg5RIzwGeB10padOxJF9E_Vljuvvct_M7RDo/edit?usp=sharing"",""ปทุมธานี!L162"")+IMPORTRANGE(""https://docs.google.com/spreadsheets/d/1GbCI"&amp;"E4D4wk9FUozzqk7SxfDMxDVBwVmI5zcaVUSzKAc/edit?usp=sharing"",""ประจวบคีรีขันธ์!L162"")+IMPORTRANGE(""https://docs.google.com/spreadsheets/d/1vVf6wykvW_lAyu7Yo9L4hUTqHqIeP_qcVuxCtosJEbg/edit?usp=sharing"",""ปราจีนบุรี!L162"")+IMPORTRANGE(""https://docs.googl"&amp;"e.com/spreadsheets/d/1BIDqLLg5jk3v59G8NlR8rk5xfQDKne0sAvZHSj7TI6I/edit?usp=sharing"",""พระนครศรีอยุธยา!L162"")+IMPORTRANGE(""https://docs.google.com/spreadsheets/d/1YXvxf8Yu6_rV4hTBrwMqAcAnv6DfhUxh5emyM3CJp_w/edit?usp=sharing"",""เพชรบุรี!L162"")+IMPORTRA"&amp;"NGE(""https://docs.google.com/spreadsheets/d/19KBlQQs7uwvsao6t2n-KvW3Ax8J8uRRfZPq1zPbXgKc/edit?usp=sharing"",""ระยอง!L162"")+IMPORTRANGE(""https://docs.google.com/spreadsheets/d/1jQ6P4QcrGM89YfqcC_PxOHGCMq5ezhucwJd8ci-NHng/edit?usp=sharing"",""ราชบุรี!L16"&amp;"2"")+IMPORTRANGE(""https://docs.google.com/spreadsheets/d/1lufeA2cfFqM-elVq2hznhDzC6Pr7wkJ9ZG_sYNGCMCU/edit?usp=sharing"",""ลพบุรี!L162"")+IMPORTRANGE(""https://docs.google.com/spreadsheets/d/10oOiF7loTyfsTkbd4MpaIm0HQ9SwB7IYHdIUvt-U1Uc/edit?usp=sharing"""&amp;",""สระแก้ว!L162"")+IMPORTRANGE(""https://docs.google.com/spreadsheets/d/1xmPlrr1QbdSIKvl1dWUl9K4PjAfSL9oeMr_37QVzcxc/edit?usp=sharing"",""สระบุรี!L162"")+IMPORTRANGE(""https://docs.google.com/spreadsheets/d/1j51vR6CYVGhABJpv6tkstgok82RLpXieLzW1yOY5rHw/edi"&amp;"t?usp=sharing"",""สิงห์บุรี!L162"")+IMPORTRANGE(""https://docs.google.com/spreadsheets/d/1H1EalTWKUSzO4Z1-1CwzoDUaVffgrThEBe2sl74kKG0/edit?usp=sharing"",""สุพรรณบุรี!L162"")+IMPORTRANGE(""https://docs.google.com/spreadsheets/d/1BmIruG_sIrJLYao_Pdr7zVArWsf"&amp;"oBt2692TMi6x_854/edit?usp=sharing"",""อ่างทอง!L162"")"),31500)</f>
        <v>31500</v>
      </c>
      <c r="M162" s="59">
        <f ca="1">IFERROR(__xludf.DUMMYFUNCTION("IMPORTRANGE(""https://docs.google.com/spreadsheets/d/13wPX838HrBrQMCywv1BsuMkt4PEKTChp52zj44s2izQ/edit?usp=sharing"",""กาญจนบุรี!M162"")+IMPORTRANGE(""https://docs.google.com/spreadsheets/d/1ddFKvqj1W1NEiWytbGlB1zMx_ykJDVtmfEQ-6-lIUBA/edit?usp=sharing"","&amp;"""จันทบุรี!M162"")+IMPORTRANGE(""https://docs.google.com/spreadsheets/d/1T1PQvRODqOBZk8BRht_U031fIS1beLA0Ub2CEytj2q0/edit?usp=sharing"",""ฉะเชิงเทรา!M162"")+IMPORTRANGE(""https://docs.google.com/spreadsheets/d/11tr1B-Bhyr79v2bkwVh5h_fR-PStkgjlZtkrZpYurG0/"&amp;"edit?usp=sharing"",""ชลบุรี!M162"")+IMPORTRANGE(""https://docs.google.com/spreadsheets/d/1hh-FVnSX0vozXhGluamEcS54Dw9_zqW0N7qJUWgJ0Sw/edit?usp=sharing"",""ชัยนาท!M162"")+IMPORTRANGE(""https://docs.google.com/spreadsheets/d/1jkqa6GXxSacMcY1eN8AHjMNJ_7dDXMJ"&amp;"VRLDlaFSOdPM/edit?usp=sharing"",""ตราด!M162"")+IMPORTRANGE(""https://docs.google.com/spreadsheets/d/18hSgUJ3VwClqi_qtULmmW3cLr0oe3OKaSYoKzdpTsYQ/edit?usp=sharing"",""นครนายก!M162"")+IMPORTRANGE(""https://docs.google.com/spreadsheets/d/1YTZo6WM2dQ6Ix6FSdnL"&amp;"5P7uVnVKu40sxZu975tgG10E/edit?usp=sharing"",""นครปฐม!M162"")+IMPORTRANGE(""https://docs.google.com/spreadsheets/d/1OYoGg4WDg5RIzwGeB10padOxJF9E_Vljuvvct_M7RDo/edit?usp=sharing"",""ปทุมธานี!M162"")+IMPORTRANGE(""https://docs.google.com/spreadsheets/d/1GbCI"&amp;"E4D4wk9FUozzqk7SxfDMxDVBwVmI5zcaVUSzKAc/edit?usp=sharing"",""ประจวบคีรีขันธ์!M162"")+IMPORTRANGE(""https://docs.google.com/spreadsheets/d/1vVf6wykvW_lAyu7Yo9L4hUTqHqIeP_qcVuxCtosJEbg/edit?usp=sharing"",""ปราจีนบุรี!M162"")+IMPORTRANGE(""https://docs.googl"&amp;"e.com/spreadsheets/d/1BIDqLLg5jk3v59G8NlR8rk5xfQDKne0sAvZHSj7TI6I/edit?usp=sharing"",""พระนครศรีอยุธยา!M162"")+IMPORTRANGE(""https://docs.google.com/spreadsheets/d/1YXvxf8Yu6_rV4hTBrwMqAcAnv6DfhUxh5emyM3CJp_w/edit?usp=sharing"",""เพชรบุรี!M162"")+IMPORTRA"&amp;"NGE(""https://docs.google.com/spreadsheets/d/19KBlQQs7uwvsao6t2n-KvW3Ax8J8uRRfZPq1zPbXgKc/edit?usp=sharing"",""ระยอง!M162"")+IMPORTRANGE(""https://docs.google.com/spreadsheets/d/1jQ6P4QcrGM89YfqcC_PxOHGCMq5ezhucwJd8ci-NHng/edit?usp=sharing"",""ราชบุรี!M16"&amp;"2"")+IMPORTRANGE(""https://docs.google.com/spreadsheets/d/1lufeA2cfFqM-elVq2hznhDzC6Pr7wkJ9ZG_sYNGCMCU/edit?usp=sharing"",""ลพบุรี!M162"")+IMPORTRANGE(""https://docs.google.com/spreadsheets/d/10oOiF7loTyfsTkbd4MpaIm0HQ9SwB7IYHdIUvt-U1Uc/edit?usp=sharing"""&amp;",""สระแก้ว!M162"")+IMPORTRANGE(""https://docs.google.com/spreadsheets/d/1xmPlrr1QbdSIKvl1dWUl9K4PjAfSL9oeMr_37QVzcxc/edit?usp=sharing"",""สระบุรี!M162"")+IMPORTRANGE(""https://docs.google.com/spreadsheets/d/1j51vR6CYVGhABJpv6tkstgok82RLpXieLzW1yOY5rHw/edi"&amp;"t?usp=sharing"",""สิงห์บุรี!M162"")+IMPORTRANGE(""https://docs.google.com/spreadsheets/d/1H1EalTWKUSzO4Z1-1CwzoDUaVffgrThEBe2sl74kKG0/edit?usp=sharing"",""สุพรรณบุรี!M162"")+IMPORTRANGE(""https://docs.google.com/spreadsheets/d/1BmIruG_sIrJLYao_Pdr7zVArWsf"&amp;"oBt2692TMi6x_854/edit?usp=sharing"",""อ่างทอง!M162"")"),0)</f>
        <v>0</v>
      </c>
      <c r="N162" s="59">
        <f ca="1">IFERROR(__xludf.DUMMYFUNCTION("IMPORTRANGE(""https://docs.google.com/spreadsheets/d/13wPX838HrBrQMCywv1BsuMkt4PEKTChp52zj44s2izQ/edit?usp=sharing"",""กาญจนบุรี!N162"")+IMPORTRANGE(""https://docs.google.com/spreadsheets/d/1ddFKvqj1W1NEiWytbGlB1zMx_ykJDVtmfEQ-6-lIUBA/edit?usp=sharing"","&amp;"""จันทบุรี!N162"")+IMPORTRANGE(""https://docs.google.com/spreadsheets/d/1T1PQvRODqOBZk8BRht_U031fIS1beLA0Ub2CEytj2q0/edit?usp=sharing"",""ฉะเชิงเทรา!N162"")+IMPORTRANGE(""https://docs.google.com/spreadsheets/d/11tr1B-Bhyr79v2bkwVh5h_fR-PStkgjlZtkrZpYurG0/"&amp;"edit?usp=sharing"",""ชลบุรี!N162"")+IMPORTRANGE(""https://docs.google.com/spreadsheets/d/1hh-FVnSX0vozXhGluamEcS54Dw9_zqW0N7qJUWgJ0Sw/edit?usp=sharing"",""ชัยนาท!N162"")+IMPORTRANGE(""https://docs.google.com/spreadsheets/d/1jkqa6GXxSacMcY1eN8AHjMNJ_7dDXMJ"&amp;"VRLDlaFSOdPM/edit?usp=sharing"",""ตราด!N162"")+IMPORTRANGE(""https://docs.google.com/spreadsheets/d/18hSgUJ3VwClqi_qtULmmW3cLr0oe3OKaSYoKzdpTsYQ/edit?usp=sharing"",""นครนายก!N162"")+IMPORTRANGE(""https://docs.google.com/spreadsheets/d/1YTZo6WM2dQ6Ix6FSdnL"&amp;"5P7uVnVKu40sxZu975tgG10E/edit?usp=sharing"",""นครปฐม!N162"")+IMPORTRANGE(""https://docs.google.com/spreadsheets/d/1OYoGg4WDg5RIzwGeB10padOxJF9E_Vljuvvct_M7RDo/edit?usp=sharing"",""ปทุมธานี!N162"")+IMPORTRANGE(""https://docs.google.com/spreadsheets/d/1GbCI"&amp;"E4D4wk9FUozzqk7SxfDMxDVBwVmI5zcaVUSzKAc/edit?usp=sharing"",""ประจวบคีรีขันธ์!N162"")+IMPORTRANGE(""https://docs.google.com/spreadsheets/d/1vVf6wykvW_lAyu7Yo9L4hUTqHqIeP_qcVuxCtosJEbg/edit?usp=sharing"",""ปราจีนบุรี!N162"")+IMPORTRANGE(""https://docs.googl"&amp;"e.com/spreadsheets/d/1BIDqLLg5jk3v59G8NlR8rk5xfQDKne0sAvZHSj7TI6I/edit?usp=sharing"",""พระนครศรีอยุธยา!N162"")+IMPORTRANGE(""https://docs.google.com/spreadsheets/d/1YXvxf8Yu6_rV4hTBrwMqAcAnv6DfhUxh5emyM3CJp_w/edit?usp=sharing"",""เพชรบุรี!N162"")+IMPORTRA"&amp;"NGE(""https://docs.google.com/spreadsheets/d/19KBlQQs7uwvsao6t2n-KvW3Ax8J8uRRfZPq1zPbXgKc/edit?usp=sharing"",""ระยอง!N162"")+IMPORTRANGE(""https://docs.google.com/spreadsheets/d/1jQ6P4QcrGM89YfqcC_PxOHGCMq5ezhucwJd8ci-NHng/edit?usp=sharing"",""ราชบุรี!N16"&amp;"2"")+IMPORTRANGE(""https://docs.google.com/spreadsheets/d/1lufeA2cfFqM-elVq2hznhDzC6Pr7wkJ9ZG_sYNGCMCU/edit?usp=sharing"",""ลพบุรี!N162"")+IMPORTRANGE(""https://docs.google.com/spreadsheets/d/10oOiF7loTyfsTkbd4MpaIm0HQ9SwB7IYHdIUvt-U1Uc/edit?usp=sharing"""&amp;",""สระแก้ว!N162"")+IMPORTRANGE(""https://docs.google.com/spreadsheets/d/1xmPlrr1QbdSIKvl1dWUl9K4PjAfSL9oeMr_37QVzcxc/edit?usp=sharing"",""สระบุรี!N162"")+IMPORTRANGE(""https://docs.google.com/spreadsheets/d/1j51vR6CYVGhABJpv6tkstgok82RLpXieLzW1yOY5rHw/edi"&amp;"t?usp=sharing"",""สิงห์บุรี!N162"")+IMPORTRANGE(""https://docs.google.com/spreadsheets/d/1H1EalTWKUSzO4Z1-1CwzoDUaVffgrThEBe2sl74kKG0/edit?usp=sharing"",""สุพรรณบุรี!N162"")+IMPORTRANGE(""https://docs.google.com/spreadsheets/d/1BmIruG_sIrJLYao_Pdr7zVArWsf"&amp;"oBt2692TMi6x_854/edit?usp=sharing"",""อ่างทอง!N162"")"),0)</f>
        <v>0</v>
      </c>
      <c r="O162" s="59">
        <f t="shared" ca="1" si="74"/>
        <v>0</v>
      </c>
      <c r="P162" s="59">
        <f t="shared" ca="1" si="75"/>
        <v>0</v>
      </c>
    </row>
    <row r="163" spans="1:16" ht="18.75" x14ac:dyDescent="0.25">
      <c r="A163" s="157"/>
      <c r="B163" s="53"/>
      <c r="C163" s="53"/>
      <c r="D163" s="54" t="s">
        <v>21</v>
      </c>
      <c r="E163" s="53"/>
      <c r="F163" s="53"/>
      <c r="G163" s="55"/>
      <c r="H163" s="166" t="s">
        <v>12</v>
      </c>
      <c r="I163" s="164"/>
      <c r="J163" s="164"/>
      <c r="K163" s="165"/>
      <c r="L163" s="59">
        <f t="shared" ref="L163:N163" ca="1" si="79">L164+L165</f>
        <v>0</v>
      </c>
      <c r="M163" s="59">
        <f t="shared" ca="1" si="79"/>
        <v>0</v>
      </c>
      <c r="N163" s="59">
        <f t="shared" ca="1" si="79"/>
        <v>0</v>
      </c>
      <c r="O163" s="59">
        <f t="shared" ca="1" si="74"/>
        <v>0</v>
      </c>
      <c r="P163" s="59">
        <f t="shared" ca="1" si="75"/>
        <v>0</v>
      </c>
    </row>
    <row r="164" spans="1:16" ht="18.75" x14ac:dyDescent="0.25">
      <c r="A164" s="157"/>
      <c r="B164" s="53"/>
      <c r="C164" s="53"/>
      <c r="D164" s="53"/>
      <c r="E164" s="60" t="s">
        <v>18</v>
      </c>
      <c r="F164" s="53"/>
      <c r="G164" s="55"/>
      <c r="H164" s="163" t="s">
        <v>12</v>
      </c>
      <c r="I164" s="164"/>
      <c r="J164" s="164"/>
      <c r="K164" s="165"/>
      <c r="L164" s="59">
        <f ca="1">IFERROR(__xludf.DUMMYFUNCTION("IMPORTRANGE(""https://docs.google.com/spreadsheets/d/13wPX838HrBrQMCywv1BsuMkt4PEKTChp52zj44s2izQ/edit?usp=sharing"",""กาญจนบุรี!L164"")+IMPORTRANGE(""https://docs.google.com/spreadsheets/d/1ddFKvqj1W1NEiWytbGlB1zMx_ykJDVtmfEQ-6-lIUBA/edit?usp=sharing"","&amp;"""จันทบุรี!L164"")+IMPORTRANGE(""https://docs.google.com/spreadsheets/d/1T1PQvRODqOBZk8BRht_U031fIS1beLA0Ub2CEytj2q0/edit?usp=sharing"",""ฉะเชิงเทรา!L164"")+IMPORTRANGE(""https://docs.google.com/spreadsheets/d/11tr1B-Bhyr79v2bkwVh5h_fR-PStkgjlZtkrZpYurG0/"&amp;"edit?usp=sharing"",""ชลบุรี!L164"")+IMPORTRANGE(""https://docs.google.com/spreadsheets/d/1hh-FVnSX0vozXhGluamEcS54Dw9_zqW0N7qJUWgJ0Sw/edit?usp=sharing"",""ชัยนาท!L164"")+IMPORTRANGE(""https://docs.google.com/spreadsheets/d/1jkqa6GXxSacMcY1eN8AHjMNJ_7dDXMJ"&amp;"VRLDlaFSOdPM/edit?usp=sharing"",""ตราด!L164"")+IMPORTRANGE(""https://docs.google.com/spreadsheets/d/18hSgUJ3VwClqi_qtULmmW3cLr0oe3OKaSYoKzdpTsYQ/edit?usp=sharing"",""นครนายก!L164"")+IMPORTRANGE(""https://docs.google.com/spreadsheets/d/1YTZo6WM2dQ6Ix6FSdnL"&amp;"5P7uVnVKu40sxZu975tgG10E/edit?usp=sharing"",""นครปฐม!L164"")+IMPORTRANGE(""https://docs.google.com/spreadsheets/d/1OYoGg4WDg5RIzwGeB10padOxJF9E_Vljuvvct_M7RDo/edit?usp=sharing"",""ปทุมธานี!L164"")+IMPORTRANGE(""https://docs.google.com/spreadsheets/d/1GbCI"&amp;"E4D4wk9FUozzqk7SxfDMxDVBwVmI5zcaVUSzKAc/edit?usp=sharing"",""ประจวบคีรีขันธ์!L164"")+IMPORTRANGE(""https://docs.google.com/spreadsheets/d/1vVf6wykvW_lAyu7Yo9L4hUTqHqIeP_qcVuxCtosJEbg/edit?usp=sharing"",""ปราจีนบุรี!L164"")+IMPORTRANGE(""https://docs.googl"&amp;"e.com/spreadsheets/d/1BIDqLLg5jk3v59G8NlR8rk5xfQDKne0sAvZHSj7TI6I/edit?usp=sharing"",""พระนครศรีอยุธยา!L164"")+IMPORTRANGE(""https://docs.google.com/spreadsheets/d/1YXvxf8Yu6_rV4hTBrwMqAcAnv6DfhUxh5emyM3CJp_w/edit?usp=sharing"",""เพชรบุรี!L164"")+IMPORTRA"&amp;"NGE(""https://docs.google.com/spreadsheets/d/19KBlQQs7uwvsao6t2n-KvW3Ax8J8uRRfZPq1zPbXgKc/edit?usp=sharing"",""ระยอง!L164"")+IMPORTRANGE(""https://docs.google.com/spreadsheets/d/1jQ6P4QcrGM89YfqcC_PxOHGCMq5ezhucwJd8ci-NHng/edit?usp=sharing"",""ราชบุรี!L16"&amp;"4"")+IMPORTRANGE(""https://docs.google.com/spreadsheets/d/1lufeA2cfFqM-elVq2hznhDzC6Pr7wkJ9ZG_sYNGCMCU/edit?usp=sharing"",""ลพบุรี!L164"")+IMPORTRANGE(""https://docs.google.com/spreadsheets/d/10oOiF7loTyfsTkbd4MpaIm0HQ9SwB7IYHdIUvt-U1Uc/edit?usp=sharing"""&amp;",""สระแก้ว!L164"")+IMPORTRANGE(""https://docs.google.com/spreadsheets/d/1xmPlrr1QbdSIKvl1dWUl9K4PjAfSL9oeMr_37QVzcxc/edit?usp=sharing"",""สระบุรี!L164"")+IMPORTRANGE(""https://docs.google.com/spreadsheets/d/1j51vR6CYVGhABJpv6tkstgok82RLpXieLzW1yOY5rHw/edi"&amp;"t?usp=sharing"",""สิงห์บุรี!L164"")+IMPORTRANGE(""https://docs.google.com/spreadsheets/d/1H1EalTWKUSzO4Z1-1CwzoDUaVffgrThEBe2sl74kKG0/edit?usp=sharing"",""สุพรรณบุรี!L164"")+IMPORTRANGE(""https://docs.google.com/spreadsheets/d/1BmIruG_sIrJLYao_Pdr7zVArWsf"&amp;"oBt2692TMi6x_854/edit?usp=sharing"",""อ่างทอง!L164"")"),0)</f>
        <v>0</v>
      </c>
      <c r="M164" s="59">
        <f ca="1">IFERROR(__xludf.DUMMYFUNCTION("IMPORTRANGE(""https://docs.google.com/spreadsheets/d/13wPX838HrBrQMCywv1BsuMkt4PEKTChp52zj44s2izQ/edit?usp=sharing"",""กาญจนบุรี!M164"")+IMPORTRANGE(""https://docs.google.com/spreadsheets/d/1ddFKvqj1W1NEiWytbGlB1zMx_ykJDVtmfEQ-6-lIUBA/edit?usp=sharing"","&amp;"""จันทบุรี!M164"")+IMPORTRANGE(""https://docs.google.com/spreadsheets/d/1T1PQvRODqOBZk8BRht_U031fIS1beLA0Ub2CEytj2q0/edit?usp=sharing"",""ฉะเชิงเทรา!M164"")+IMPORTRANGE(""https://docs.google.com/spreadsheets/d/11tr1B-Bhyr79v2bkwVh5h_fR-PStkgjlZtkrZpYurG0/"&amp;"edit?usp=sharing"",""ชลบุรี!M164"")+IMPORTRANGE(""https://docs.google.com/spreadsheets/d/1hh-FVnSX0vozXhGluamEcS54Dw9_zqW0N7qJUWgJ0Sw/edit?usp=sharing"",""ชัยนาท!M164"")+IMPORTRANGE(""https://docs.google.com/spreadsheets/d/1jkqa6GXxSacMcY1eN8AHjMNJ_7dDXMJ"&amp;"VRLDlaFSOdPM/edit?usp=sharing"",""ตราด!M164"")+IMPORTRANGE(""https://docs.google.com/spreadsheets/d/18hSgUJ3VwClqi_qtULmmW3cLr0oe3OKaSYoKzdpTsYQ/edit?usp=sharing"",""นครนายก!M164"")+IMPORTRANGE(""https://docs.google.com/spreadsheets/d/1YTZo6WM2dQ6Ix6FSdnL"&amp;"5P7uVnVKu40sxZu975tgG10E/edit?usp=sharing"",""นครปฐม!M164"")+IMPORTRANGE(""https://docs.google.com/spreadsheets/d/1OYoGg4WDg5RIzwGeB10padOxJF9E_Vljuvvct_M7RDo/edit?usp=sharing"",""ปทุมธานี!M164"")+IMPORTRANGE(""https://docs.google.com/spreadsheets/d/1GbCI"&amp;"E4D4wk9FUozzqk7SxfDMxDVBwVmI5zcaVUSzKAc/edit?usp=sharing"",""ประจวบคีรีขันธ์!M164"")+IMPORTRANGE(""https://docs.google.com/spreadsheets/d/1vVf6wykvW_lAyu7Yo9L4hUTqHqIeP_qcVuxCtosJEbg/edit?usp=sharing"",""ปราจีนบุรี!M164"")+IMPORTRANGE(""https://docs.googl"&amp;"e.com/spreadsheets/d/1BIDqLLg5jk3v59G8NlR8rk5xfQDKne0sAvZHSj7TI6I/edit?usp=sharing"",""พระนครศรีอยุธยา!M164"")+IMPORTRANGE(""https://docs.google.com/spreadsheets/d/1YXvxf8Yu6_rV4hTBrwMqAcAnv6DfhUxh5emyM3CJp_w/edit?usp=sharing"",""เพชรบุรี!M164"")+IMPORTRA"&amp;"NGE(""https://docs.google.com/spreadsheets/d/19KBlQQs7uwvsao6t2n-KvW3Ax8J8uRRfZPq1zPbXgKc/edit?usp=sharing"",""ระยอง!M164"")+IMPORTRANGE(""https://docs.google.com/spreadsheets/d/1jQ6P4QcrGM89YfqcC_PxOHGCMq5ezhucwJd8ci-NHng/edit?usp=sharing"",""ราชบุรี!M16"&amp;"4"")+IMPORTRANGE(""https://docs.google.com/spreadsheets/d/1lufeA2cfFqM-elVq2hznhDzC6Pr7wkJ9ZG_sYNGCMCU/edit?usp=sharing"",""ลพบุรี!M164"")+IMPORTRANGE(""https://docs.google.com/spreadsheets/d/10oOiF7loTyfsTkbd4MpaIm0HQ9SwB7IYHdIUvt-U1Uc/edit?usp=sharing"""&amp;",""สระแก้ว!M164"")+IMPORTRANGE(""https://docs.google.com/spreadsheets/d/1xmPlrr1QbdSIKvl1dWUl9K4PjAfSL9oeMr_37QVzcxc/edit?usp=sharing"",""สระบุรี!M164"")+IMPORTRANGE(""https://docs.google.com/spreadsheets/d/1j51vR6CYVGhABJpv6tkstgok82RLpXieLzW1yOY5rHw/edi"&amp;"t?usp=sharing"",""สิงห์บุรี!M164"")+IMPORTRANGE(""https://docs.google.com/spreadsheets/d/1H1EalTWKUSzO4Z1-1CwzoDUaVffgrThEBe2sl74kKG0/edit?usp=sharing"",""สุพรรณบุรี!M164"")+IMPORTRANGE(""https://docs.google.com/spreadsheets/d/1BmIruG_sIrJLYao_Pdr7zVArWsf"&amp;"oBt2692TMi6x_854/edit?usp=sharing"",""อ่างทอง!M164"")"),0)</f>
        <v>0</v>
      </c>
      <c r="N164" s="59">
        <f ca="1">IFERROR(__xludf.DUMMYFUNCTION("IMPORTRANGE(""https://docs.google.com/spreadsheets/d/13wPX838HrBrQMCywv1BsuMkt4PEKTChp52zj44s2izQ/edit?usp=sharing"",""กาญจนบุรี!N164"")+IMPORTRANGE(""https://docs.google.com/spreadsheets/d/1ddFKvqj1W1NEiWytbGlB1zMx_ykJDVtmfEQ-6-lIUBA/edit?usp=sharing"","&amp;"""จันทบุรี!N164"")+IMPORTRANGE(""https://docs.google.com/spreadsheets/d/1T1PQvRODqOBZk8BRht_U031fIS1beLA0Ub2CEytj2q0/edit?usp=sharing"",""ฉะเชิงเทรา!N164"")+IMPORTRANGE(""https://docs.google.com/spreadsheets/d/11tr1B-Bhyr79v2bkwVh5h_fR-PStkgjlZtkrZpYurG0/"&amp;"edit?usp=sharing"",""ชลบุรี!N164"")+IMPORTRANGE(""https://docs.google.com/spreadsheets/d/1hh-FVnSX0vozXhGluamEcS54Dw9_zqW0N7qJUWgJ0Sw/edit?usp=sharing"",""ชัยนาท!N164"")+IMPORTRANGE(""https://docs.google.com/spreadsheets/d/1jkqa6GXxSacMcY1eN8AHjMNJ_7dDXMJ"&amp;"VRLDlaFSOdPM/edit?usp=sharing"",""ตราด!N164"")+IMPORTRANGE(""https://docs.google.com/spreadsheets/d/18hSgUJ3VwClqi_qtULmmW3cLr0oe3OKaSYoKzdpTsYQ/edit?usp=sharing"",""นครนายก!N164"")+IMPORTRANGE(""https://docs.google.com/spreadsheets/d/1YTZo6WM2dQ6Ix6FSdnL"&amp;"5P7uVnVKu40sxZu975tgG10E/edit?usp=sharing"",""นครปฐม!N164"")+IMPORTRANGE(""https://docs.google.com/spreadsheets/d/1OYoGg4WDg5RIzwGeB10padOxJF9E_Vljuvvct_M7RDo/edit?usp=sharing"",""ปทุมธานี!N164"")+IMPORTRANGE(""https://docs.google.com/spreadsheets/d/1GbCI"&amp;"E4D4wk9FUozzqk7SxfDMxDVBwVmI5zcaVUSzKAc/edit?usp=sharing"",""ประจวบคีรีขันธ์!N164"")+IMPORTRANGE(""https://docs.google.com/spreadsheets/d/1vVf6wykvW_lAyu7Yo9L4hUTqHqIeP_qcVuxCtosJEbg/edit?usp=sharing"",""ปราจีนบุรี!N164"")+IMPORTRANGE(""https://docs.googl"&amp;"e.com/spreadsheets/d/1BIDqLLg5jk3v59G8NlR8rk5xfQDKne0sAvZHSj7TI6I/edit?usp=sharing"",""พระนครศรีอยุธยา!N164"")+IMPORTRANGE(""https://docs.google.com/spreadsheets/d/1YXvxf8Yu6_rV4hTBrwMqAcAnv6DfhUxh5emyM3CJp_w/edit?usp=sharing"",""เพชรบุรี!N164"")+IMPORTRA"&amp;"NGE(""https://docs.google.com/spreadsheets/d/19KBlQQs7uwvsao6t2n-KvW3Ax8J8uRRfZPq1zPbXgKc/edit?usp=sharing"",""ระยอง!N164"")+IMPORTRANGE(""https://docs.google.com/spreadsheets/d/1jQ6P4QcrGM89YfqcC_PxOHGCMq5ezhucwJd8ci-NHng/edit?usp=sharing"",""ราชบุรี!N16"&amp;"4"")+IMPORTRANGE(""https://docs.google.com/spreadsheets/d/1lufeA2cfFqM-elVq2hznhDzC6Pr7wkJ9ZG_sYNGCMCU/edit?usp=sharing"",""ลพบุรี!N164"")+IMPORTRANGE(""https://docs.google.com/spreadsheets/d/10oOiF7loTyfsTkbd4MpaIm0HQ9SwB7IYHdIUvt-U1Uc/edit?usp=sharing"""&amp;",""สระแก้ว!N164"")+IMPORTRANGE(""https://docs.google.com/spreadsheets/d/1xmPlrr1QbdSIKvl1dWUl9K4PjAfSL9oeMr_37QVzcxc/edit?usp=sharing"",""สระบุรี!N164"")+IMPORTRANGE(""https://docs.google.com/spreadsheets/d/1j51vR6CYVGhABJpv6tkstgok82RLpXieLzW1yOY5rHw/edi"&amp;"t?usp=sharing"",""สิงห์บุรี!N164"")+IMPORTRANGE(""https://docs.google.com/spreadsheets/d/1H1EalTWKUSzO4Z1-1CwzoDUaVffgrThEBe2sl74kKG0/edit?usp=sharing"",""สุพรรณบุรี!N164"")+IMPORTRANGE(""https://docs.google.com/spreadsheets/d/1BmIruG_sIrJLYao_Pdr7zVArWsf"&amp;"oBt2692TMi6x_854/edit?usp=sharing"",""อ่างทอง!N164"")"),0)</f>
        <v>0</v>
      </c>
      <c r="O164" s="59">
        <f t="shared" ca="1" si="74"/>
        <v>0</v>
      </c>
      <c r="P164" s="59">
        <f t="shared" ca="1" si="75"/>
        <v>0</v>
      </c>
    </row>
    <row r="165" spans="1:16" ht="18.75" x14ac:dyDescent="0.25">
      <c r="A165" s="157"/>
      <c r="B165" s="53"/>
      <c r="C165" s="53"/>
      <c r="D165" s="53"/>
      <c r="E165" s="60" t="s">
        <v>19</v>
      </c>
      <c r="F165" s="53"/>
      <c r="G165" s="55"/>
      <c r="H165" s="166" t="s">
        <v>12</v>
      </c>
      <c r="I165" s="164"/>
      <c r="J165" s="164"/>
      <c r="K165" s="165"/>
      <c r="L165" s="59">
        <f ca="1">IFERROR(__xludf.DUMMYFUNCTION("IMPORTRANGE(""https://docs.google.com/spreadsheets/d/13wPX838HrBrQMCywv1BsuMkt4PEKTChp52zj44s2izQ/edit?usp=sharing"",""กาญจนบุรี!L165"")+IMPORTRANGE(""https://docs.google.com/spreadsheets/d/1ddFKvqj1W1NEiWytbGlB1zMx_ykJDVtmfEQ-6-lIUBA/edit?usp=sharing"","&amp;"""จันทบุรี!L165"")+IMPORTRANGE(""https://docs.google.com/spreadsheets/d/1T1PQvRODqOBZk8BRht_U031fIS1beLA0Ub2CEytj2q0/edit?usp=sharing"",""ฉะเชิงเทรา!L165"")+IMPORTRANGE(""https://docs.google.com/spreadsheets/d/11tr1B-Bhyr79v2bkwVh5h_fR-PStkgjlZtkrZpYurG0/"&amp;"edit?usp=sharing"",""ชลบุรี!L165"")+IMPORTRANGE(""https://docs.google.com/spreadsheets/d/1hh-FVnSX0vozXhGluamEcS54Dw9_zqW0N7qJUWgJ0Sw/edit?usp=sharing"",""ชัยนาท!L165"")+IMPORTRANGE(""https://docs.google.com/spreadsheets/d/1jkqa6GXxSacMcY1eN8AHjMNJ_7dDXMJ"&amp;"VRLDlaFSOdPM/edit?usp=sharing"",""ตราด!L165"")+IMPORTRANGE(""https://docs.google.com/spreadsheets/d/18hSgUJ3VwClqi_qtULmmW3cLr0oe3OKaSYoKzdpTsYQ/edit?usp=sharing"",""นครนายก!L165"")+IMPORTRANGE(""https://docs.google.com/spreadsheets/d/1YTZo6WM2dQ6Ix6FSdnL"&amp;"5P7uVnVKu40sxZu975tgG10E/edit?usp=sharing"",""นครปฐม!L165"")+IMPORTRANGE(""https://docs.google.com/spreadsheets/d/1OYoGg4WDg5RIzwGeB10padOxJF9E_Vljuvvct_M7RDo/edit?usp=sharing"",""ปทุมธานี!L165"")+IMPORTRANGE(""https://docs.google.com/spreadsheets/d/1GbCI"&amp;"E4D4wk9FUozzqk7SxfDMxDVBwVmI5zcaVUSzKAc/edit?usp=sharing"",""ประจวบคีรีขันธ์!L165"")+IMPORTRANGE(""https://docs.google.com/spreadsheets/d/1vVf6wykvW_lAyu7Yo9L4hUTqHqIeP_qcVuxCtosJEbg/edit?usp=sharing"",""ปราจีนบุรี!L165"")+IMPORTRANGE(""https://docs.googl"&amp;"e.com/spreadsheets/d/1BIDqLLg5jk3v59G8NlR8rk5xfQDKne0sAvZHSj7TI6I/edit?usp=sharing"",""พระนครศรีอยุธยา!L165"")+IMPORTRANGE(""https://docs.google.com/spreadsheets/d/1YXvxf8Yu6_rV4hTBrwMqAcAnv6DfhUxh5emyM3CJp_w/edit?usp=sharing"",""เพชรบุรี!L165"")+IMPORTRA"&amp;"NGE(""https://docs.google.com/spreadsheets/d/19KBlQQs7uwvsao6t2n-KvW3Ax8J8uRRfZPq1zPbXgKc/edit?usp=sharing"",""ระยอง!L165"")+IMPORTRANGE(""https://docs.google.com/spreadsheets/d/1jQ6P4QcrGM89YfqcC_PxOHGCMq5ezhucwJd8ci-NHng/edit?usp=sharing"",""ราชบุรี!L16"&amp;"5"")+IMPORTRANGE(""https://docs.google.com/spreadsheets/d/1lufeA2cfFqM-elVq2hznhDzC6Pr7wkJ9ZG_sYNGCMCU/edit?usp=sharing"",""ลพบุรี!L165"")+IMPORTRANGE(""https://docs.google.com/spreadsheets/d/10oOiF7loTyfsTkbd4MpaIm0HQ9SwB7IYHdIUvt-U1Uc/edit?usp=sharing"""&amp;",""สระแก้ว!L165"")+IMPORTRANGE(""https://docs.google.com/spreadsheets/d/1xmPlrr1QbdSIKvl1dWUl9K4PjAfSL9oeMr_37QVzcxc/edit?usp=sharing"",""สระบุรี!L165"")+IMPORTRANGE(""https://docs.google.com/spreadsheets/d/1j51vR6CYVGhABJpv6tkstgok82RLpXieLzW1yOY5rHw/edi"&amp;"t?usp=sharing"",""สิงห์บุรี!L165"")+IMPORTRANGE(""https://docs.google.com/spreadsheets/d/1H1EalTWKUSzO4Z1-1CwzoDUaVffgrThEBe2sl74kKG0/edit?usp=sharing"",""สุพรรณบุรี!L165"")+IMPORTRANGE(""https://docs.google.com/spreadsheets/d/1BmIruG_sIrJLYao_Pdr7zVArWsf"&amp;"oBt2692TMi6x_854/edit?usp=sharing"",""อ่างทอง!L165"")"),0)</f>
        <v>0</v>
      </c>
      <c r="M165" s="59">
        <f ca="1">IFERROR(__xludf.DUMMYFUNCTION("IMPORTRANGE(""https://docs.google.com/spreadsheets/d/13wPX838HrBrQMCywv1BsuMkt4PEKTChp52zj44s2izQ/edit?usp=sharing"",""กาญจนบุรี!M165"")+IMPORTRANGE(""https://docs.google.com/spreadsheets/d/1ddFKvqj1W1NEiWytbGlB1zMx_ykJDVtmfEQ-6-lIUBA/edit?usp=sharing"","&amp;"""จันทบุรี!M165"")+IMPORTRANGE(""https://docs.google.com/spreadsheets/d/1T1PQvRODqOBZk8BRht_U031fIS1beLA0Ub2CEytj2q0/edit?usp=sharing"",""ฉะเชิงเทรา!M165"")+IMPORTRANGE(""https://docs.google.com/spreadsheets/d/11tr1B-Bhyr79v2bkwVh5h_fR-PStkgjlZtkrZpYurG0/"&amp;"edit?usp=sharing"",""ชลบุรี!M165"")+IMPORTRANGE(""https://docs.google.com/spreadsheets/d/1hh-FVnSX0vozXhGluamEcS54Dw9_zqW0N7qJUWgJ0Sw/edit?usp=sharing"",""ชัยนาท!M165"")+IMPORTRANGE(""https://docs.google.com/spreadsheets/d/1jkqa6GXxSacMcY1eN8AHjMNJ_7dDXMJ"&amp;"VRLDlaFSOdPM/edit?usp=sharing"",""ตราด!M165"")+IMPORTRANGE(""https://docs.google.com/spreadsheets/d/18hSgUJ3VwClqi_qtULmmW3cLr0oe3OKaSYoKzdpTsYQ/edit?usp=sharing"",""นครนายก!M165"")+IMPORTRANGE(""https://docs.google.com/spreadsheets/d/1YTZo6WM2dQ6Ix6FSdnL"&amp;"5P7uVnVKu40sxZu975tgG10E/edit?usp=sharing"",""นครปฐม!M165"")+IMPORTRANGE(""https://docs.google.com/spreadsheets/d/1OYoGg4WDg5RIzwGeB10padOxJF9E_Vljuvvct_M7RDo/edit?usp=sharing"",""ปทุมธานี!M165"")+IMPORTRANGE(""https://docs.google.com/spreadsheets/d/1GbCI"&amp;"E4D4wk9FUozzqk7SxfDMxDVBwVmI5zcaVUSzKAc/edit?usp=sharing"",""ประจวบคีรีขันธ์!M165"")+IMPORTRANGE(""https://docs.google.com/spreadsheets/d/1vVf6wykvW_lAyu7Yo9L4hUTqHqIeP_qcVuxCtosJEbg/edit?usp=sharing"",""ปราจีนบุรี!M165"")+IMPORTRANGE(""https://docs.googl"&amp;"e.com/spreadsheets/d/1BIDqLLg5jk3v59G8NlR8rk5xfQDKne0sAvZHSj7TI6I/edit?usp=sharing"",""พระนครศรีอยุธยา!M165"")+IMPORTRANGE(""https://docs.google.com/spreadsheets/d/1YXvxf8Yu6_rV4hTBrwMqAcAnv6DfhUxh5emyM3CJp_w/edit?usp=sharing"",""เพชรบุรี!M165"")+IMPORTRA"&amp;"NGE(""https://docs.google.com/spreadsheets/d/19KBlQQs7uwvsao6t2n-KvW3Ax8J8uRRfZPq1zPbXgKc/edit?usp=sharing"",""ระยอง!M165"")+IMPORTRANGE(""https://docs.google.com/spreadsheets/d/1jQ6P4QcrGM89YfqcC_PxOHGCMq5ezhucwJd8ci-NHng/edit?usp=sharing"",""ราชบุรี!M16"&amp;"5"")+IMPORTRANGE(""https://docs.google.com/spreadsheets/d/1lufeA2cfFqM-elVq2hznhDzC6Pr7wkJ9ZG_sYNGCMCU/edit?usp=sharing"",""ลพบุรี!M165"")+IMPORTRANGE(""https://docs.google.com/spreadsheets/d/10oOiF7loTyfsTkbd4MpaIm0HQ9SwB7IYHdIUvt-U1Uc/edit?usp=sharing"""&amp;",""สระแก้ว!M165"")+IMPORTRANGE(""https://docs.google.com/spreadsheets/d/1xmPlrr1QbdSIKvl1dWUl9K4PjAfSL9oeMr_37QVzcxc/edit?usp=sharing"",""สระบุรี!M165"")+IMPORTRANGE(""https://docs.google.com/spreadsheets/d/1j51vR6CYVGhABJpv6tkstgok82RLpXieLzW1yOY5rHw/edi"&amp;"t?usp=sharing"",""สิงห์บุรี!M165"")+IMPORTRANGE(""https://docs.google.com/spreadsheets/d/1H1EalTWKUSzO4Z1-1CwzoDUaVffgrThEBe2sl74kKG0/edit?usp=sharing"",""สุพรรณบุรี!M165"")+IMPORTRANGE(""https://docs.google.com/spreadsheets/d/1BmIruG_sIrJLYao_Pdr7zVArWsf"&amp;"oBt2692TMi6x_854/edit?usp=sharing"",""อ่างทอง!M165"")"),0)</f>
        <v>0</v>
      </c>
      <c r="N165" s="59">
        <f ca="1">IFERROR(__xludf.DUMMYFUNCTION("IMPORTRANGE(""https://docs.google.com/spreadsheets/d/13wPX838HrBrQMCywv1BsuMkt4PEKTChp52zj44s2izQ/edit?usp=sharing"",""กาญจนบุรี!N165"")+IMPORTRANGE(""https://docs.google.com/spreadsheets/d/1ddFKvqj1W1NEiWytbGlB1zMx_ykJDVtmfEQ-6-lIUBA/edit?usp=sharing"","&amp;"""จันทบุรี!N165"")+IMPORTRANGE(""https://docs.google.com/spreadsheets/d/1T1PQvRODqOBZk8BRht_U031fIS1beLA0Ub2CEytj2q0/edit?usp=sharing"",""ฉะเชิงเทรา!N165"")+IMPORTRANGE(""https://docs.google.com/spreadsheets/d/11tr1B-Bhyr79v2bkwVh5h_fR-PStkgjlZtkrZpYurG0/"&amp;"edit?usp=sharing"",""ชลบุรี!N165"")+IMPORTRANGE(""https://docs.google.com/spreadsheets/d/1hh-FVnSX0vozXhGluamEcS54Dw9_zqW0N7qJUWgJ0Sw/edit?usp=sharing"",""ชัยนาท!N165"")+IMPORTRANGE(""https://docs.google.com/spreadsheets/d/1jkqa6GXxSacMcY1eN8AHjMNJ_7dDXMJ"&amp;"VRLDlaFSOdPM/edit?usp=sharing"",""ตราด!N165"")+IMPORTRANGE(""https://docs.google.com/spreadsheets/d/18hSgUJ3VwClqi_qtULmmW3cLr0oe3OKaSYoKzdpTsYQ/edit?usp=sharing"",""นครนายก!N165"")+IMPORTRANGE(""https://docs.google.com/spreadsheets/d/1YTZo6WM2dQ6Ix6FSdnL"&amp;"5P7uVnVKu40sxZu975tgG10E/edit?usp=sharing"",""นครปฐม!N165"")+IMPORTRANGE(""https://docs.google.com/spreadsheets/d/1OYoGg4WDg5RIzwGeB10padOxJF9E_Vljuvvct_M7RDo/edit?usp=sharing"",""ปทุมธานี!N165"")+IMPORTRANGE(""https://docs.google.com/spreadsheets/d/1GbCI"&amp;"E4D4wk9FUozzqk7SxfDMxDVBwVmI5zcaVUSzKAc/edit?usp=sharing"",""ประจวบคีรีขันธ์!N165"")+IMPORTRANGE(""https://docs.google.com/spreadsheets/d/1vVf6wykvW_lAyu7Yo9L4hUTqHqIeP_qcVuxCtosJEbg/edit?usp=sharing"",""ปราจีนบุรี!N165"")+IMPORTRANGE(""https://docs.googl"&amp;"e.com/spreadsheets/d/1BIDqLLg5jk3v59G8NlR8rk5xfQDKne0sAvZHSj7TI6I/edit?usp=sharing"",""พระนครศรีอยุธยา!N165"")+IMPORTRANGE(""https://docs.google.com/spreadsheets/d/1YXvxf8Yu6_rV4hTBrwMqAcAnv6DfhUxh5emyM3CJp_w/edit?usp=sharing"",""เพชรบุรี!N165"")+IMPORTRA"&amp;"NGE(""https://docs.google.com/spreadsheets/d/19KBlQQs7uwvsao6t2n-KvW3Ax8J8uRRfZPq1zPbXgKc/edit?usp=sharing"",""ระยอง!N165"")+IMPORTRANGE(""https://docs.google.com/spreadsheets/d/1jQ6P4QcrGM89YfqcC_PxOHGCMq5ezhucwJd8ci-NHng/edit?usp=sharing"",""ราชบุรี!N16"&amp;"5"")+IMPORTRANGE(""https://docs.google.com/spreadsheets/d/1lufeA2cfFqM-elVq2hznhDzC6Pr7wkJ9ZG_sYNGCMCU/edit?usp=sharing"",""ลพบุรี!N165"")+IMPORTRANGE(""https://docs.google.com/spreadsheets/d/10oOiF7loTyfsTkbd4MpaIm0HQ9SwB7IYHdIUvt-U1Uc/edit?usp=sharing"""&amp;",""สระแก้ว!N165"")+IMPORTRANGE(""https://docs.google.com/spreadsheets/d/1xmPlrr1QbdSIKvl1dWUl9K4PjAfSL9oeMr_37QVzcxc/edit?usp=sharing"",""สระบุรี!N165"")+IMPORTRANGE(""https://docs.google.com/spreadsheets/d/1j51vR6CYVGhABJpv6tkstgok82RLpXieLzW1yOY5rHw/edi"&amp;"t?usp=sharing"",""สิงห์บุรี!N165"")+IMPORTRANGE(""https://docs.google.com/spreadsheets/d/1H1EalTWKUSzO4Z1-1CwzoDUaVffgrThEBe2sl74kKG0/edit?usp=sharing"",""สุพรรณบุรี!N165"")+IMPORTRANGE(""https://docs.google.com/spreadsheets/d/1BmIruG_sIrJLYao_Pdr7zVArWsf"&amp;"oBt2692TMi6x_854/edit?usp=sharing"",""อ่างทอง!N165"")"),0)</f>
        <v>0</v>
      </c>
      <c r="O165" s="59">
        <f t="shared" ca="1" si="74"/>
        <v>0</v>
      </c>
      <c r="P165" s="59">
        <f t="shared" ca="1" si="75"/>
        <v>0</v>
      </c>
    </row>
    <row r="166" spans="1:16" ht="19.5" x14ac:dyDescent="0.3">
      <c r="A166" s="167"/>
      <c r="B166" s="168"/>
      <c r="C166" s="158" t="s">
        <v>16</v>
      </c>
      <c r="D166" s="169" t="s">
        <v>36</v>
      </c>
      <c r="E166" s="170"/>
      <c r="F166" s="170"/>
      <c r="G166" s="171"/>
      <c r="H166" s="227"/>
      <c r="I166" s="57"/>
      <c r="J166" s="57"/>
      <c r="K166" s="58"/>
      <c r="L166" s="58"/>
      <c r="M166" s="58"/>
      <c r="N166" s="58"/>
      <c r="O166" s="58"/>
      <c r="P166" s="58"/>
    </row>
    <row r="167" spans="1:16" ht="18.75" x14ac:dyDescent="0.25">
      <c r="A167" s="157"/>
      <c r="B167" s="53"/>
      <c r="C167" s="53"/>
      <c r="D167" s="252" t="s">
        <v>63</v>
      </c>
      <c r="E167" s="53"/>
      <c r="F167" s="53"/>
      <c r="G167" s="55"/>
      <c r="H167" s="166" t="s">
        <v>33</v>
      </c>
      <c r="I167" s="182">
        <f ca="1">IFERROR(__xludf.DUMMYFUNCTION("IMPORTRANGE(""https://docs.google.com/spreadsheets/d/13wPX838HrBrQMCywv1BsuMkt4PEKTChp52zj44s2izQ/edit?usp=sharing"",""กาญจนบุรี!I167"")+IMPORTRANGE(""https://docs.google.com/spreadsheets/d/1ddFKvqj1W1NEiWytbGlB1zMx_ykJDVtmfEQ-6-lIUBA/edit?usp=sharing"","&amp;"""จันทบุรี!I167"")+IMPORTRANGE(""https://docs.google.com/spreadsheets/d/1T1PQvRODqOBZk8BRht_U031fIS1beLA0Ub2CEytj2q0/edit?usp=sharing"",""ฉะเชิงเทรา!I167"")+IMPORTRANGE(""https://docs.google.com/spreadsheets/d/11tr1B-Bhyr79v2bkwVh5h_fR-PStkgjlZtkrZpYurG0/"&amp;"edit?usp=sharing"",""ชลบุรี!I167"")+IMPORTRANGE(""https://docs.google.com/spreadsheets/d/1hh-FVnSX0vozXhGluamEcS54Dw9_zqW0N7qJUWgJ0Sw/edit?usp=sharing"",""ชัยนาท!I167"")+IMPORTRANGE(""https://docs.google.com/spreadsheets/d/1jkqa6GXxSacMcY1eN8AHjMNJ_7dDXMJ"&amp;"VRLDlaFSOdPM/edit?usp=sharing"",""ตราด!I167"")+IMPORTRANGE(""https://docs.google.com/spreadsheets/d/18hSgUJ3VwClqi_qtULmmW3cLr0oe3OKaSYoKzdpTsYQ/edit?usp=sharing"",""นครนายก!I167"")+IMPORTRANGE(""https://docs.google.com/spreadsheets/d/1YTZo6WM2dQ6Ix6FSdnL"&amp;"5P7uVnVKu40sxZu975tgG10E/edit?usp=sharing"",""นครปฐม!I167"")+IMPORTRANGE(""https://docs.google.com/spreadsheets/d/1OYoGg4WDg5RIzwGeB10padOxJF9E_Vljuvvct_M7RDo/edit?usp=sharing"",""ปทุมธานี!I167"")+IMPORTRANGE(""https://docs.google.com/spreadsheets/d/1GbCI"&amp;"E4D4wk9FUozzqk7SxfDMxDVBwVmI5zcaVUSzKAc/edit?usp=sharing"",""ประจวบคีรีขันธ์!I167"")+IMPORTRANGE(""https://docs.google.com/spreadsheets/d/1vVf6wykvW_lAyu7Yo9L4hUTqHqIeP_qcVuxCtosJEbg/edit?usp=sharing"",""ปราจีนบุรี!I167"")+IMPORTRANGE(""https://docs.googl"&amp;"e.com/spreadsheets/d/1BIDqLLg5jk3v59G8NlR8rk5xfQDKne0sAvZHSj7TI6I/edit?usp=sharing"",""พระนครศรีอยุธยา!I167"")+IMPORTRANGE(""https://docs.google.com/spreadsheets/d/1YXvxf8Yu6_rV4hTBrwMqAcAnv6DfhUxh5emyM3CJp_w/edit?usp=sharing"",""เพชรบุรี!I167"")+IMPORTRA"&amp;"NGE(""https://docs.google.com/spreadsheets/d/19KBlQQs7uwvsao6t2n-KvW3Ax8J8uRRfZPq1zPbXgKc/edit?usp=sharing"",""ระยอง!I167"")+IMPORTRANGE(""https://docs.google.com/spreadsheets/d/1jQ6P4QcrGM89YfqcC_PxOHGCMq5ezhucwJd8ci-NHng/edit?usp=sharing"",""ราชบุรี!I16"&amp;"7"")+IMPORTRANGE(""https://docs.google.com/spreadsheets/d/1lufeA2cfFqM-elVq2hznhDzC6Pr7wkJ9ZG_sYNGCMCU/edit?usp=sharing"",""ลพบุรี!I167"")+IMPORTRANGE(""https://docs.google.com/spreadsheets/d/10oOiF7loTyfsTkbd4MpaIm0HQ9SwB7IYHdIUvt-U1Uc/edit?usp=sharing"""&amp;",""สระแก้ว!I167"")+IMPORTRANGE(""https://docs.google.com/spreadsheets/d/1xmPlrr1QbdSIKvl1dWUl9K4PjAfSL9oeMr_37QVzcxc/edit?usp=sharing"",""สระบุรี!I167"")+IMPORTRANGE(""https://docs.google.com/spreadsheets/d/1j51vR6CYVGhABJpv6tkstgok82RLpXieLzW1yOY5rHw/edi"&amp;"t?usp=sharing"",""สิงห์บุรี!I167"")+IMPORTRANGE(""https://docs.google.com/spreadsheets/d/1H1EalTWKUSzO4Z1-1CwzoDUaVffgrThEBe2sl74kKG0/edit?usp=sharing"",""สุพรรณบุรี!I167"")+IMPORTRANGE(""https://docs.google.com/spreadsheets/d/1BmIruG_sIrJLYao_Pdr7zVArWsf"&amp;"oBt2692TMi6x_854/edit?usp=sharing"",""อ่างทอง!I167"")"),105)</f>
        <v>105</v>
      </c>
      <c r="J167" s="182">
        <f ca="1">IFERROR(__xludf.DUMMYFUNCTION("IMPORTRANGE(""https://docs.google.com/spreadsheets/d/13wPX838HrBrQMCywv1BsuMkt4PEKTChp52zj44s2izQ/edit?usp=sharing"",""กาญจนบุรี!J167"")+IMPORTRANGE(""https://docs.google.com/spreadsheets/d/1ddFKvqj1W1NEiWytbGlB1zMx_ykJDVtmfEQ-6-lIUBA/edit?usp=sharing"","&amp;"""จันทบุรี!J167"")+IMPORTRANGE(""https://docs.google.com/spreadsheets/d/1T1PQvRODqOBZk8BRht_U031fIS1beLA0Ub2CEytj2q0/edit?usp=sharing"",""ฉะเชิงเทรา!J167"")+IMPORTRANGE(""https://docs.google.com/spreadsheets/d/11tr1B-Bhyr79v2bkwVh5h_fR-PStkgjlZtkrZpYurG0/"&amp;"edit?usp=sharing"",""ชลบุรี!J167"")+IMPORTRANGE(""https://docs.google.com/spreadsheets/d/1hh-FVnSX0vozXhGluamEcS54Dw9_zqW0N7qJUWgJ0Sw/edit?usp=sharing"",""ชัยนาท!J167"")+IMPORTRANGE(""https://docs.google.com/spreadsheets/d/1jkqa6GXxSacMcY1eN8AHjMNJ_7dDXMJ"&amp;"VRLDlaFSOdPM/edit?usp=sharing"",""ตราด!J167"")+IMPORTRANGE(""https://docs.google.com/spreadsheets/d/18hSgUJ3VwClqi_qtULmmW3cLr0oe3OKaSYoKzdpTsYQ/edit?usp=sharing"",""นครนายก!J167"")+IMPORTRANGE(""https://docs.google.com/spreadsheets/d/1YTZo6WM2dQ6Ix6FSdnL"&amp;"5P7uVnVKu40sxZu975tgG10E/edit?usp=sharing"",""นครปฐม!J167"")+IMPORTRANGE(""https://docs.google.com/spreadsheets/d/1OYoGg4WDg5RIzwGeB10padOxJF9E_Vljuvvct_M7RDo/edit?usp=sharing"",""ปทุมธานี!J167"")+IMPORTRANGE(""https://docs.google.com/spreadsheets/d/1GbCI"&amp;"E4D4wk9FUozzqk7SxfDMxDVBwVmI5zcaVUSzKAc/edit?usp=sharing"",""ประจวบคีรีขันธ์!J167"")+IMPORTRANGE(""https://docs.google.com/spreadsheets/d/1vVf6wykvW_lAyu7Yo9L4hUTqHqIeP_qcVuxCtosJEbg/edit?usp=sharing"",""ปราจีนบุรี!J167"")+IMPORTRANGE(""https://docs.googl"&amp;"e.com/spreadsheets/d/1BIDqLLg5jk3v59G8NlR8rk5xfQDKne0sAvZHSj7TI6I/edit?usp=sharing"",""พระนครศรีอยุธยา!J167"")+IMPORTRANGE(""https://docs.google.com/spreadsheets/d/1YXvxf8Yu6_rV4hTBrwMqAcAnv6DfhUxh5emyM3CJp_w/edit?usp=sharing"",""เพชรบุรี!J167"")+IMPORTRA"&amp;"NGE(""https://docs.google.com/spreadsheets/d/19KBlQQs7uwvsao6t2n-KvW3Ax8J8uRRfZPq1zPbXgKc/edit?usp=sharing"",""ระยอง!J167"")+IMPORTRANGE(""https://docs.google.com/spreadsheets/d/1jQ6P4QcrGM89YfqcC_PxOHGCMq5ezhucwJd8ci-NHng/edit?usp=sharing"",""ราชบุรี!J16"&amp;"7"")+IMPORTRANGE(""https://docs.google.com/spreadsheets/d/1lufeA2cfFqM-elVq2hznhDzC6Pr7wkJ9ZG_sYNGCMCU/edit?usp=sharing"",""ลพบุรี!J167"")+IMPORTRANGE(""https://docs.google.com/spreadsheets/d/10oOiF7loTyfsTkbd4MpaIm0HQ9SwB7IYHdIUvt-U1Uc/edit?usp=sharing"""&amp;",""สระแก้ว!J167"")+IMPORTRANGE(""https://docs.google.com/spreadsheets/d/1xmPlrr1QbdSIKvl1dWUl9K4PjAfSL9oeMr_37QVzcxc/edit?usp=sharing"",""สระบุรี!J167"")+IMPORTRANGE(""https://docs.google.com/spreadsheets/d/1j51vR6CYVGhABJpv6tkstgok82RLpXieLzW1yOY5rHw/edi"&amp;"t?usp=sharing"",""สิงห์บุรี!J167"")+IMPORTRANGE(""https://docs.google.com/spreadsheets/d/1H1EalTWKUSzO4Z1-1CwzoDUaVffgrThEBe2sl74kKG0/edit?usp=sharing"",""สุพรรณบุรี!J167"")+IMPORTRANGE(""https://docs.google.com/spreadsheets/d/1BmIruG_sIrJLYao_Pdr7zVArWsf"&amp;"oBt2692TMi6x_854/edit?usp=sharing"",""อ่างทอง!J167"")"),0)</f>
        <v>0</v>
      </c>
      <c r="K167" s="59">
        <f t="shared" ref="K167:K169" ca="1" si="80">IF(I167&gt;0,J167*100/I167,0)</f>
        <v>0</v>
      </c>
      <c r="L167" s="58"/>
      <c r="M167" s="58"/>
      <c r="N167" s="58"/>
      <c r="O167" s="58"/>
      <c r="P167" s="58"/>
    </row>
    <row r="168" spans="1:16" ht="18.75" x14ac:dyDescent="0.25">
      <c r="A168" s="157"/>
      <c r="B168" s="53"/>
      <c r="C168" s="53"/>
      <c r="D168" s="252" t="s">
        <v>64</v>
      </c>
      <c r="E168" s="53"/>
      <c r="F168" s="53"/>
      <c r="G168" s="55"/>
      <c r="H168" s="166" t="s">
        <v>33</v>
      </c>
      <c r="I168" s="182">
        <f t="shared" ref="I168:I169" ca="1" si="81">I167</f>
        <v>105</v>
      </c>
      <c r="J168" s="182">
        <v>0</v>
      </c>
      <c r="K168" s="59">
        <f t="shared" ca="1" si="80"/>
        <v>0</v>
      </c>
      <c r="L168" s="58"/>
      <c r="M168" s="58"/>
      <c r="N168" s="58"/>
      <c r="O168" s="58"/>
      <c r="P168" s="58"/>
    </row>
    <row r="169" spans="1:16" ht="18.75" x14ac:dyDescent="0.25">
      <c r="A169" s="253"/>
      <c r="B169" s="1"/>
      <c r="C169" s="1"/>
      <c r="D169" s="254" t="s">
        <v>65</v>
      </c>
      <c r="E169" s="1"/>
      <c r="F169" s="1"/>
      <c r="G169" s="135"/>
      <c r="H169" s="255" t="s">
        <v>33</v>
      </c>
      <c r="I169" s="256">
        <f t="shared" ca="1" si="81"/>
        <v>105</v>
      </c>
      <c r="J169" s="256">
        <v>0</v>
      </c>
      <c r="K169" s="139">
        <f t="shared" ca="1" si="80"/>
        <v>0</v>
      </c>
      <c r="L169" s="138"/>
      <c r="M169" s="138"/>
      <c r="N169" s="138"/>
      <c r="O169" s="138"/>
      <c r="P169" s="138"/>
    </row>
    <row r="170" spans="1:16" ht="19.5" x14ac:dyDescent="0.3">
      <c r="A170" s="257" t="s">
        <v>66</v>
      </c>
      <c r="B170" s="258"/>
      <c r="C170" s="258"/>
      <c r="D170" s="258"/>
      <c r="E170" s="259"/>
      <c r="F170" s="259"/>
      <c r="G170" s="259"/>
      <c r="H170" s="259"/>
      <c r="I170" s="260"/>
      <c r="J170" s="260"/>
      <c r="K170" s="261"/>
      <c r="L170" s="261"/>
      <c r="M170" s="261"/>
      <c r="N170" s="261"/>
      <c r="O170" s="261"/>
      <c r="P170" s="262"/>
    </row>
    <row r="171" spans="1:16" ht="19.5" x14ac:dyDescent="0.3">
      <c r="A171" s="263" t="s">
        <v>67</v>
      </c>
      <c r="B171" s="264"/>
      <c r="C171" s="264"/>
      <c r="D171" s="265"/>
      <c r="E171" s="265"/>
      <c r="F171" s="265"/>
      <c r="G171" s="266"/>
      <c r="H171" s="266"/>
      <c r="I171" s="267"/>
      <c r="J171" s="267"/>
      <c r="K171" s="268"/>
      <c r="L171" s="268"/>
      <c r="M171" s="268"/>
      <c r="N171" s="268"/>
      <c r="O171" s="268"/>
      <c r="P171" s="268"/>
    </row>
    <row r="172" spans="1:16" ht="19.5" x14ac:dyDescent="0.3">
      <c r="A172" s="269"/>
      <c r="B172" s="270" t="s">
        <v>68</v>
      </c>
      <c r="C172" s="271"/>
      <c r="D172" s="170"/>
      <c r="E172" s="170"/>
      <c r="F172" s="170"/>
      <c r="G172" s="171"/>
      <c r="H172" s="272" t="s">
        <v>33</v>
      </c>
      <c r="I172" s="273">
        <f t="shared" ref="I172:J172" ca="1" si="82">I183+I184</f>
        <v>203</v>
      </c>
      <c r="J172" s="273">
        <f t="shared" ca="1" si="82"/>
        <v>35</v>
      </c>
      <c r="K172" s="274">
        <f ca="1">IF(I172&gt;0,J172*100/I172,0)</f>
        <v>17.241379310344829</v>
      </c>
      <c r="L172" s="275"/>
      <c r="M172" s="275"/>
      <c r="N172" s="275"/>
      <c r="O172" s="275"/>
      <c r="P172" s="275"/>
    </row>
    <row r="173" spans="1:16" ht="19.5" x14ac:dyDescent="0.3">
      <c r="A173" s="157"/>
      <c r="B173" s="53"/>
      <c r="C173" s="158" t="s">
        <v>16</v>
      </c>
      <c r="D173" s="159" t="s">
        <v>17</v>
      </c>
      <c r="E173" s="53"/>
      <c r="F173" s="53"/>
      <c r="G173" s="55"/>
      <c r="H173" s="160" t="s">
        <v>12</v>
      </c>
      <c r="I173" s="57"/>
      <c r="J173" s="57"/>
      <c r="K173" s="58"/>
      <c r="L173" s="161">
        <f t="shared" ref="L173:N173" ca="1" si="83">L174+L175</f>
        <v>372210</v>
      </c>
      <c r="M173" s="161">
        <f t="shared" ca="1" si="83"/>
        <v>372210</v>
      </c>
      <c r="N173" s="161">
        <f t="shared" ca="1" si="83"/>
        <v>134390</v>
      </c>
      <c r="O173" s="161">
        <f t="shared" ref="O173:O181" ca="1" si="84">IF(L173&gt;0,N173*100/L173,0)</f>
        <v>36.105961688294244</v>
      </c>
      <c r="P173" s="161">
        <f t="shared" ref="P173:P181" ca="1" si="85">IF(M173&gt;0,N173*100/M173,0)</f>
        <v>36.105961688294244</v>
      </c>
    </row>
    <row r="174" spans="1:16" ht="18.75" x14ac:dyDescent="0.25">
      <c r="A174" s="157"/>
      <c r="B174" s="53"/>
      <c r="C174" s="53"/>
      <c r="D174" s="53"/>
      <c r="E174" s="60" t="s">
        <v>18</v>
      </c>
      <c r="F174" s="53"/>
      <c r="G174" s="55"/>
      <c r="H174" s="162" t="s">
        <v>12</v>
      </c>
      <c r="I174" s="57"/>
      <c r="J174" s="57"/>
      <c r="K174" s="58"/>
      <c r="L174" s="59">
        <f t="shared" ref="L174:N174" ca="1" si="86">L177+L180</f>
        <v>0</v>
      </c>
      <c r="M174" s="59">
        <f t="shared" ca="1" si="86"/>
        <v>0</v>
      </c>
      <c r="N174" s="59">
        <f t="shared" ca="1" si="86"/>
        <v>0</v>
      </c>
      <c r="O174" s="59">
        <f t="shared" ca="1" si="84"/>
        <v>0</v>
      </c>
      <c r="P174" s="59">
        <f t="shared" ca="1" si="85"/>
        <v>0</v>
      </c>
    </row>
    <row r="175" spans="1:16" ht="18.75" x14ac:dyDescent="0.25">
      <c r="A175" s="157"/>
      <c r="B175" s="53"/>
      <c r="C175" s="53"/>
      <c r="D175" s="53"/>
      <c r="E175" s="60" t="s">
        <v>19</v>
      </c>
      <c r="F175" s="53"/>
      <c r="G175" s="55"/>
      <c r="H175" s="162" t="s">
        <v>12</v>
      </c>
      <c r="I175" s="57"/>
      <c r="J175" s="57"/>
      <c r="K175" s="58"/>
      <c r="L175" s="59">
        <f t="shared" ref="L175:N175" ca="1" si="87">L178+L181</f>
        <v>372210</v>
      </c>
      <c r="M175" s="59">
        <f t="shared" ca="1" si="87"/>
        <v>372210</v>
      </c>
      <c r="N175" s="59">
        <f t="shared" ca="1" si="87"/>
        <v>134390</v>
      </c>
      <c r="O175" s="59">
        <f t="shared" ca="1" si="84"/>
        <v>36.105961688294244</v>
      </c>
      <c r="P175" s="59">
        <f t="shared" ca="1" si="85"/>
        <v>36.105961688294244</v>
      </c>
    </row>
    <row r="176" spans="1:16" ht="18.75" x14ac:dyDescent="0.25">
      <c r="A176" s="157"/>
      <c r="B176" s="53"/>
      <c r="C176" s="53"/>
      <c r="D176" s="54" t="s">
        <v>20</v>
      </c>
      <c r="E176" s="53"/>
      <c r="F176" s="53"/>
      <c r="G176" s="55"/>
      <c r="H176" s="163" t="s">
        <v>12</v>
      </c>
      <c r="I176" s="164"/>
      <c r="J176" s="164"/>
      <c r="K176" s="165"/>
      <c r="L176" s="59">
        <f t="shared" ref="L176:N176" ca="1" si="88">L177+L178</f>
        <v>372210</v>
      </c>
      <c r="M176" s="59">
        <f t="shared" ca="1" si="88"/>
        <v>372210</v>
      </c>
      <c r="N176" s="59">
        <f t="shared" ca="1" si="88"/>
        <v>134390</v>
      </c>
      <c r="O176" s="59">
        <f t="shared" ca="1" si="84"/>
        <v>36.105961688294244</v>
      </c>
      <c r="P176" s="59">
        <f t="shared" ca="1" si="85"/>
        <v>36.105961688294244</v>
      </c>
    </row>
    <row r="177" spans="1:16" ht="18.75" x14ac:dyDescent="0.25">
      <c r="A177" s="157"/>
      <c r="B177" s="53"/>
      <c r="C177" s="53"/>
      <c r="D177" s="53"/>
      <c r="E177" s="60" t="s">
        <v>34</v>
      </c>
      <c r="F177" s="53"/>
      <c r="G177" s="55"/>
      <c r="H177" s="163" t="s">
        <v>12</v>
      </c>
      <c r="I177" s="164"/>
      <c r="J177" s="164"/>
      <c r="K177" s="165"/>
      <c r="L177" s="59">
        <f ca="1">IFERROR(__xludf.DUMMYFUNCTION("IMPORTRANGE(""https://docs.google.com/spreadsheets/d/13wPX838HrBrQMCywv1BsuMkt4PEKTChp52zj44s2izQ/edit?usp=sharing"",""กาญจนบุรี!L177"")+IMPORTRANGE(""https://docs.google.com/spreadsheets/d/1ddFKvqj1W1NEiWytbGlB1zMx_ykJDVtmfEQ-6-lIUBA/edit?usp=sharing"","&amp;"""จันทบุรี!L177"")+IMPORTRANGE(""https://docs.google.com/spreadsheets/d/1T1PQvRODqOBZk8BRht_U031fIS1beLA0Ub2CEytj2q0/edit?usp=sharing"",""ฉะเชิงเทรา!L177"")+IMPORTRANGE(""https://docs.google.com/spreadsheets/d/11tr1B-Bhyr79v2bkwVh5h_fR-PStkgjlZtkrZpYurG0/"&amp;"edit?usp=sharing"",""ชลบุรี!L177"")+IMPORTRANGE(""https://docs.google.com/spreadsheets/d/1hh-FVnSX0vozXhGluamEcS54Dw9_zqW0N7qJUWgJ0Sw/edit?usp=sharing"",""ชัยนาท!L177"")+IMPORTRANGE(""https://docs.google.com/spreadsheets/d/1jkqa6GXxSacMcY1eN8AHjMNJ_7dDXMJ"&amp;"VRLDlaFSOdPM/edit?usp=sharing"",""ตราด!L177"")+IMPORTRANGE(""https://docs.google.com/spreadsheets/d/18hSgUJ3VwClqi_qtULmmW3cLr0oe3OKaSYoKzdpTsYQ/edit?usp=sharing"",""นครนายก!L177"")+IMPORTRANGE(""https://docs.google.com/spreadsheets/d/1YTZo6WM2dQ6Ix6FSdnL"&amp;"5P7uVnVKu40sxZu975tgG10E/edit?usp=sharing"",""นครปฐม!L177"")+IMPORTRANGE(""https://docs.google.com/spreadsheets/d/1OYoGg4WDg5RIzwGeB10padOxJF9E_Vljuvvct_M7RDo/edit?usp=sharing"",""ปทุมธานี!L177"")+IMPORTRANGE(""https://docs.google.com/spreadsheets/d/1GbCI"&amp;"E4D4wk9FUozzqk7SxfDMxDVBwVmI5zcaVUSzKAc/edit?usp=sharing"",""ประจวบคีรีขันธ์!L177"")+IMPORTRANGE(""https://docs.google.com/spreadsheets/d/1vVf6wykvW_lAyu7Yo9L4hUTqHqIeP_qcVuxCtosJEbg/edit?usp=sharing"",""ปราจีนบุรี!L177"")+IMPORTRANGE(""https://docs.googl"&amp;"e.com/spreadsheets/d/1BIDqLLg5jk3v59G8NlR8rk5xfQDKne0sAvZHSj7TI6I/edit?usp=sharing"",""พระนครศรีอยุธยา!L177"")+IMPORTRANGE(""https://docs.google.com/spreadsheets/d/1YXvxf8Yu6_rV4hTBrwMqAcAnv6DfhUxh5emyM3CJp_w/edit?usp=sharing"",""เพชรบุรี!L177"")+IMPORTRA"&amp;"NGE(""https://docs.google.com/spreadsheets/d/19KBlQQs7uwvsao6t2n-KvW3Ax8J8uRRfZPq1zPbXgKc/edit?usp=sharing"",""ระยอง!L177"")+IMPORTRANGE(""https://docs.google.com/spreadsheets/d/1jQ6P4QcrGM89YfqcC_PxOHGCMq5ezhucwJd8ci-NHng/edit?usp=sharing"",""ราชบุรี!L17"&amp;"7"")+IMPORTRANGE(""https://docs.google.com/spreadsheets/d/1lufeA2cfFqM-elVq2hznhDzC6Pr7wkJ9ZG_sYNGCMCU/edit?usp=sharing"",""ลพบุรี!L177"")+IMPORTRANGE(""https://docs.google.com/spreadsheets/d/10oOiF7loTyfsTkbd4MpaIm0HQ9SwB7IYHdIUvt-U1Uc/edit?usp=sharing"""&amp;",""สระแก้ว!L177"")+IMPORTRANGE(""https://docs.google.com/spreadsheets/d/1xmPlrr1QbdSIKvl1dWUl9K4PjAfSL9oeMr_37QVzcxc/edit?usp=sharing"",""สระบุรี!L177"")+IMPORTRANGE(""https://docs.google.com/spreadsheets/d/1j51vR6CYVGhABJpv6tkstgok82RLpXieLzW1yOY5rHw/edi"&amp;"t?usp=sharing"",""สิงห์บุรี!L177"")+IMPORTRANGE(""https://docs.google.com/spreadsheets/d/1H1EalTWKUSzO4Z1-1CwzoDUaVffgrThEBe2sl74kKG0/edit?usp=sharing"",""สุพรรณบุรี!L177"")+IMPORTRANGE(""https://docs.google.com/spreadsheets/d/1BmIruG_sIrJLYao_Pdr7zVArWsf"&amp;"oBt2692TMi6x_854/edit?usp=sharing"",""อ่างทอง!L177"")"),0)</f>
        <v>0</v>
      </c>
      <c r="M177" s="59">
        <f ca="1">IFERROR(__xludf.DUMMYFUNCTION("IMPORTRANGE(""https://docs.google.com/spreadsheets/d/13wPX838HrBrQMCywv1BsuMkt4PEKTChp52zj44s2izQ/edit?usp=sharing"",""กาญจนบุรี!M177"")+IMPORTRANGE(""https://docs.google.com/spreadsheets/d/1ddFKvqj1W1NEiWytbGlB1zMx_ykJDVtmfEQ-6-lIUBA/edit?usp=sharing"","&amp;"""จันทบุรี!M177"")+IMPORTRANGE(""https://docs.google.com/spreadsheets/d/1T1PQvRODqOBZk8BRht_U031fIS1beLA0Ub2CEytj2q0/edit?usp=sharing"",""ฉะเชิงเทรา!M177"")+IMPORTRANGE(""https://docs.google.com/spreadsheets/d/11tr1B-Bhyr79v2bkwVh5h_fR-PStkgjlZtkrZpYurG0/"&amp;"edit?usp=sharing"",""ชลบุรี!M177"")+IMPORTRANGE(""https://docs.google.com/spreadsheets/d/1hh-FVnSX0vozXhGluamEcS54Dw9_zqW0N7qJUWgJ0Sw/edit?usp=sharing"",""ชัยนาท!M177"")+IMPORTRANGE(""https://docs.google.com/spreadsheets/d/1jkqa6GXxSacMcY1eN8AHjMNJ_7dDXMJ"&amp;"VRLDlaFSOdPM/edit?usp=sharing"",""ตราด!M177"")+IMPORTRANGE(""https://docs.google.com/spreadsheets/d/18hSgUJ3VwClqi_qtULmmW3cLr0oe3OKaSYoKzdpTsYQ/edit?usp=sharing"",""นครนายก!M177"")+IMPORTRANGE(""https://docs.google.com/spreadsheets/d/1YTZo6WM2dQ6Ix6FSdnL"&amp;"5P7uVnVKu40sxZu975tgG10E/edit?usp=sharing"",""นครปฐม!M177"")+IMPORTRANGE(""https://docs.google.com/spreadsheets/d/1OYoGg4WDg5RIzwGeB10padOxJF9E_Vljuvvct_M7RDo/edit?usp=sharing"",""ปทุมธานี!M177"")+IMPORTRANGE(""https://docs.google.com/spreadsheets/d/1GbCI"&amp;"E4D4wk9FUozzqk7SxfDMxDVBwVmI5zcaVUSzKAc/edit?usp=sharing"",""ประจวบคีรีขันธ์!M177"")+IMPORTRANGE(""https://docs.google.com/spreadsheets/d/1vVf6wykvW_lAyu7Yo9L4hUTqHqIeP_qcVuxCtosJEbg/edit?usp=sharing"",""ปราจีนบุรี!M177"")+IMPORTRANGE(""https://docs.googl"&amp;"e.com/spreadsheets/d/1BIDqLLg5jk3v59G8NlR8rk5xfQDKne0sAvZHSj7TI6I/edit?usp=sharing"",""พระนครศรีอยุธยา!M177"")+IMPORTRANGE(""https://docs.google.com/spreadsheets/d/1YXvxf8Yu6_rV4hTBrwMqAcAnv6DfhUxh5emyM3CJp_w/edit?usp=sharing"",""เพชรบุรี!M177"")+IMPORTRA"&amp;"NGE(""https://docs.google.com/spreadsheets/d/19KBlQQs7uwvsao6t2n-KvW3Ax8J8uRRfZPq1zPbXgKc/edit?usp=sharing"",""ระยอง!M177"")+IMPORTRANGE(""https://docs.google.com/spreadsheets/d/1jQ6P4QcrGM89YfqcC_PxOHGCMq5ezhucwJd8ci-NHng/edit?usp=sharing"",""ราชบุรี!M17"&amp;"7"")+IMPORTRANGE(""https://docs.google.com/spreadsheets/d/1lufeA2cfFqM-elVq2hznhDzC6Pr7wkJ9ZG_sYNGCMCU/edit?usp=sharing"",""ลพบุรี!M177"")+IMPORTRANGE(""https://docs.google.com/spreadsheets/d/10oOiF7loTyfsTkbd4MpaIm0HQ9SwB7IYHdIUvt-U1Uc/edit?usp=sharing"""&amp;",""สระแก้ว!M177"")+IMPORTRANGE(""https://docs.google.com/spreadsheets/d/1xmPlrr1QbdSIKvl1dWUl9K4PjAfSL9oeMr_37QVzcxc/edit?usp=sharing"",""สระบุรี!M177"")+IMPORTRANGE(""https://docs.google.com/spreadsheets/d/1j51vR6CYVGhABJpv6tkstgok82RLpXieLzW1yOY5rHw/edi"&amp;"t?usp=sharing"",""สิงห์บุรี!M177"")+IMPORTRANGE(""https://docs.google.com/spreadsheets/d/1H1EalTWKUSzO4Z1-1CwzoDUaVffgrThEBe2sl74kKG0/edit?usp=sharing"",""สุพรรณบุรี!M177"")+IMPORTRANGE(""https://docs.google.com/spreadsheets/d/1BmIruG_sIrJLYao_Pdr7zVArWsf"&amp;"oBt2692TMi6x_854/edit?usp=sharing"",""อ่างทอง!M177"")"),0)</f>
        <v>0</v>
      </c>
      <c r="N177" s="59">
        <f ca="1">IFERROR(__xludf.DUMMYFUNCTION("IMPORTRANGE(""https://docs.google.com/spreadsheets/d/13wPX838HrBrQMCywv1BsuMkt4PEKTChp52zj44s2izQ/edit?usp=sharing"",""กาญจนบุรี!N177"")+IMPORTRANGE(""https://docs.google.com/spreadsheets/d/1ddFKvqj1W1NEiWytbGlB1zMx_ykJDVtmfEQ-6-lIUBA/edit?usp=sharing"","&amp;"""จันทบุรี!N177"")+IMPORTRANGE(""https://docs.google.com/spreadsheets/d/1T1PQvRODqOBZk8BRht_U031fIS1beLA0Ub2CEytj2q0/edit?usp=sharing"",""ฉะเชิงเทรา!N177"")+IMPORTRANGE(""https://docs.google.com/spreadsheets/d/11tr1B-Bhyr79v2bkwVh5h_fR-PStkgjlZtkrZpYurG0/"&amp;"edit?usp=sharing"",""ชลบุรี!N177"")+IMPORTRANGE(""https://docs.google.com/spreadsheets/d/1hh-FVnSX0vozXhGluamEcS54Dw9_zqW0N7qJUWgJ0Sw/edit?usp=sharing"",""ชัยนาท!N177"")+IMPORTRANGE(""https://docs.google.com/spreadsheets/d/1jkqa6GXxSacMcY1eN8AHjMNJ_7dDXMJ"&amp;"VRLDlaFSOdPM/edit?usp=sharing"",""ตราด!N177"")+IMPORTRANGE(""https://docs.google.com/spreadsheets/d/18hSgUJ3VwClqi_qtULmmW3cLr0oe3OKaSYoKzdpTsYQ/edit?usp=sharing"",""นครนายก!N177"")+IMPORTRANGE(""https://docs.google.com/spreadsheets/d/1YTZo6WM2dQ6Ix6FSdnL"&amp;"5P7uVnVKu40sxZu975tgG10E/edit?usp=sharing"",""นครปฐม!N177"")+IMPORTRANGE(""https://docs.google.com/spreadsheets/d/1OYoGg4WDg5RIzwGeB10padOxJF9E_Vljuvvct_M7RDo/edit?usp=sharing"",""ปทุมธานี!N177"")+IMPORTRANGE(""https://docs.google.com/spreadsheets/d/1GbCI"&amp;"E4D4wk9FUozzqk7SxfDMxDVBwVmI5zcaVUSzKAc/edit?usp=sharing"",""ประจวบคีรีขันธ์!N177"")+IMPORTRANGE(""https://docs.google.com/spreadsheets/d/1vVf6wykvW_lAyu7Yo9L4hUTqHqIeP_qcVuxCtosJEbg/edit?usp=sharing"",""ปราจีนบุรี!N177"")+IMPORTRANGE(""https://docs.googl"&amp;"e.com/spreadsheets/d/1BIDqLLg5jk3v59G8NlR8rk5xfQDKne0sAvZHSj7TI6I/edit?usp=sharing"",""พระนครศรีอยุธยา!N177"")+IMPORTRANGE(""https://docs.google.com/spreadsheets/d/1YXvxf8Yu6_rV4hTBrwMqAcAnv6DfhUxh5emyM3CJp_w/edit?usp=sharing"",""เพชรบุรี!N177"")+IMPORTRA"&amp;"NGE(""https://docs.google.com/spreadsheets/d/19KBlQQs7uwvsao6t2n-KvW3Ax8J8uRRfZPq1zPbXgKc/edit?usp=sharing"",""ระยอง!N177"")+IMPORTRANGE(""https://docs.google.com/spreadsheets/d/1jQ6P4QcrGM89YfqcC_PxOHGCMq5ezhucwJd8ci-NHng/edit?usp=sharing"",""ราชบุรี!N17"&amp;"7"")+IMPORTRANGE(""https://docs.google.com/spreadsheets/d/1lufeA2cfFqM-elVq2hznhDzC6Pr7wkJ9ZG_sYNGCMCU/edit?usp=sharing"",""ลพบุรี!N177"")+IMPORTRANGE(""https://docs.google.com/spreadsheets/d/10oOiF7loTyfsTkbd4MpaIm0HQ9SwB7IYHdIUvt-U1Uc/edit?usp=sharing"""&amp;",""สระแก้ว!N177"")+IMPORTRANGE(""https://docs.google.com/spreadsheets/d/1xmPlrr1QbdSIKvl1dWUl9K4PjAfSL9oeMr_37QVzcxc/edit?usp=sharing"",""สระบุรี!N177"")+IMPORTRANGE(""https://docs.google.com/spreadsheets/d/1j51vR6CYVGhABJpv6tkstgok82RLpXieLzW1yOY5rHw/edi"&amp;"t?usp=sharing"",""สิงห์บุรี!N177"")+IMPORTRANGE(""https://docs.google.com/spreadsheets/d/1H1EalTWKUSzO4Z1-1CwzoDUaVffgrThEBe2sl74kKG0/edit?usp=sharing"",""สุพรรณบุรี!N177"")+IMPORTRANGE(""https://docs.google.com/spreadsheets/d/1BmIruG_sIrJLYao_Pdr7zVArWsf"&amp;"oBt2692TMi6x_854/edit?usp=sharing"",""อ่างทอง!N177"")"),0)</f>
        <v>0</v>
      </c>
      <c r="O177" s="59">
        <f t="shared" ca="1" si="84"/>
        <v>0</v>
      </c>
      <c r="P177" s="59">
        <f t="shared" ca="1" si="85"/>
        <v>0</v>
      </c>
    </row>
    <row r="178" spans="1:16" ht="18.75" x14ac:dyDescent="0.25">
      <c r="A178" s="157"/>
      <c r="B178" s="53"/>
      <c r="C178" s="53"/>
      <c r="D178" s="53"/>
      <c r="E178" s="60" t="s">
        <v>35</v>
      </c>
      <c r="F178" s="53"/>
      <c r="G178" s="55"/>
      <c r="H178" s="163" t="s">
        <v>12</v>
      </c>
      <c r="I178" s="164"/>
      <c r="J178" s="164"/>
      <c r="K178" s="165"/>
      <c r="L178" s="59">
        <f ca="1">IFERROR(__xludf.DUMMYFUNCTION("IMPORTRANGE(""https://docs.google.com/spreadsheets/d/13wPX838HrBrQMCywv1BsuMkt4PEKTChp52zj44s2izQ/edit?usp=sharing"",""กาญจนบุรี!L178"")+IMPORTRANGE(""https://docs.google.com/spreadsheets/d/1ddFKvqj1W1NEiWytbGlB1zMx_ykJDVtmfEQ-6-lIUBA/edit?usp=sharing"","&amp;"""จันทบุรี!L178"")+IMPORTRANGE(""https://docs.google.com/spreadsheets/d/1T1PQvRODqOBZk8BRht_U031fIS1beLA0Ub2CEytj2q0/edit?usp=sharing"",""ฉะเชิงเทรา!L178"")+IMPORTRANGE(""https://docs.google.com/spreadsheets/d/11tr1B-Bhyr79v2bkwVh5h_fR-PStkgjlZtkrZpYurG0/"&amp;"edit?usp=sharing"",""ชลบุรี!L178"")+IMPORTRANGE(""https://docs.google.com/spreadsheets/d/1hh-FVnSX0vozXhGluamEcS54Dw9_zqW0N7qJUWgJ0Sw/edit?usp=sharing"",""ชัยนาท!L178"")+IMPORTRANGE(""https://docs.google.com/spreadsheets/d/1jkqa6GXxSacMcY1eN8AHjMNJ_7dDXMJ"&amp;"VRLDlaFSOdPM/edit?usp=sharing"",""ตราด!L178"")+IMPORTRANGE(""https://docs.google.com/spreadsheets/d/18hSgUJ3VwClqi_qtULmmW3cLr0oe3OKaSYoKzdpTsYQ/edit?usp=sharing"",""นครนายก!L178"")+IMPORTRANGE(""https://docs.google.com/spreadsheets/d/1YTZo6WM2dQ6Ix6FSdnL"&amp;"5P7uVnVKu40sxZu975tgG10E/edit?usp=sharing"",""นครปฐม!L178"")+IMPORTRANGE(""https://docs.google.com/spreadsheets/d/1OYoGg4WDg5RIzwGeB10padOxJF9E_Vljuvvct_M7RDo/edit?usp=sharing"",""ปทุมธานี!L178"")+IMPORTRANGE(""https://docs.google.com/spreadsheets/d/1GbCI"&amp;"E4D4wk9FUozzqk7SxfDMxDVBwVmI5zcaVUSzKAc/edit?usp=sharing"",""ประจวบคีรีขันธ์!L178"")+IMPORTRANGE(""https://docs.google.com/spreadsheets/d/1vVf6wykvW_lAyu7Yo9L4hUTqHqIeP_qcVuxCtosJEbg/edit?usp=sharing"",""ปราจีนบุรี!L178"")+IMPORTRANGE(""https://docs.googl"&amp;"e.com/spreadsheets/d/1BIDqLLg5jk3v59G8NlR8rk5xfQDKne0sAvZHSj7TI6I/edit?usp=sharing"",""พระนครศรีอยุธยา!L178"")+IMPORTRANGE(""https://docs.google.com/spreadsheets/d/1YXvxf8Yu6_rV4hTBrwMqAcAnv6DfhUxh5emyM3CJp_w/edit?usp=sharing"",""เพชรบุรี!L178"")+IMPORTRA"&amp;"NGE(""https://docs.google.com/spreadsheets/d/19KBlQQs7uwvsao6t2n-KvW3Ax8J8uRRfZPq1zPbXgKc/edit?usp=sharing"",""ระยอง!L178"")+IMPORTRANGE(""https://docs.google.com/spreadsheets/d/1jQ6P4QcrGM89YfqcC_PxOHGCMq5ezhucwJd8ci-NHng/edit?usp=sharing"",""ราชบุรี!L17"&amp;"8"")+IMPORTRANGE(""https://docs.google.com/spreadsheets/d/1lufeA2cfFqM-elVq2hznhDzC6Pr7wkJ9ZG_sYNGCMCU/edit?usp=sharing"",""ลพบุรี!L178"")+IMPORTRANGE(""https://docs.google.com/spreadsheets/d/10oOiF7loTyfsTkbd4MpaIm0HQ9SwB7IYHdIUvt-U1Uc/edit?usp=sharing"""&amp;",""สระแก้ว!L178"")+IMPORTRANGE(""https://docs.google.com/spreadsheets/d/1xmPlrr1QbdSIKvl1dWUl9K4PjAfSL9oeMr_37QVzcxc/edit?usp=sharing"",""สระบุรี!L178"")+IMPORTRANGE(""https://docs.google.com/spreadsheets/d/1j51vR6CYVGhABJpv6tkstgok82RLpXieLzW1yOY5rHw/edi"&amp;"t?usp=sharing"",""สิงห์บุรี!L178"")+IMPORTRANGE(""https://docs.google.com/spreadsheets/d/1H1EalTWKUSzO4Z1-1CwzoDUaVffgrThEBe2sl74kKG0/edit?usp=sharing"",""สุพรรณบุรี!L178"")+IMPORTRANGE(""https://docs.google.com/spreadsheets/d/1BmIruG_sIrJLYao_Pdr7zVArWsf"&amp;"oBt2692TMi6x_854/edit?usp=sharing"",""อ่างทอง!L178"")"),372210)</f>
        <v>372210</v>
      </c>
      <c r="M178" s="59">
        <f ca="1">IFERROR(__xludf.DUMMYFUNCTION("IMPORTRANGE(""https://docs.google.com/spreadsheets/d/13wPX838HrBrQMCywv1BsuMkt4PEKTChp52zj44s2izQ/edit?usp=sharing"",""กาญจนบุรี!M178"")+IMPORTRANGE(""https://docs.google.com/spreadsheets/d/1ddFKvqj1W1NEiWytbGlB1zMx_ykJDVtmfEQ-6-lIUBA/edit?usp=sharing"","&amp;"""จันทบุรี!M178"")+IMPORTRANGE(""https://docs.google.com/spreadsheets/d/1T1PQvRODqOBZk8BRht_U031fIS1beLA0Ub2CEytj2q0/edit?usp=sharing"",""ฉะเชิงเทรา!M178"")+IMPORTRANGE(""https://docs.google.com/spreadsheets/d/11tr1B-Bhyr79v2bkwVh5h_fR-PStkgjlZtkrZpYurG0/"&amp;"edit?usp=sharing"",""ชลบุรี!M178"")+IMPORTRANGE(""https://docs.google.com/spreadsheets/d/1hh-FVnSX0vozXhGluamEcS54Dw9_zqW0N7qJUWgJ0Sw/edit?usp=sharing"",""ชัยนาท!M178"")+IMPORTRANGE(""https://docs.google.com/spreadsheets/d/1jkqa6GXxSacMcY1eN8AHjMNJ_7dDXMJ"&amp;"VRLDlaFSOdPM/edit?usp=sharing"",""ตราด!M178"")+IMPORTRANGE(""https://docs.google.com/spreadsheets/d/18hSgUJ3VwClqi_qtULmmW3cLr0oe3OKaSYoKzdpTsYQ/edit?usp=sharing"",""นครนายก!M178"")+IMPORTRANGE(""https://docs.google.com/spreadsheets/d/1YTZo6WM2dQ6Ix6FSdnL"&amp;"5P7uVnVKu40sxZu975tgG10E/edit?usp=sharing"",""นครปฐม!M178"")+IMPORTRANGE(""https://docs.google.com/spreadsheets/d/1OYoGg4WDg5RIzwGeB10padOxJF9E_Vljuvvct_M7RDo/edit?usp=sharing"",""ปทุมธานี!M178"")+IMPORTRANGE(""https://docs.google.com/spreadsheets/d/1GbCI"&amp;"E4D4wk9FUozzqk7SxfDMxDVBwVmI5zcaVUSzKAc/edit?usp=sharing"",""ประจวบคีรีขันธ์!M178"")+IMPORTRANGE(""https://docs.google.com/spreadsheets/d/1vVf6wykvW_lAyu7Yo9L4hUTqHqIeP_qcVuxCtosJEbg/edit?usp=sharing"",""ปราจีนบุรี!M178"")+IMPORTRANGE(""https://docs.googl"&amp;"e.com/spreadsheets/d/1BIDqLLg5jk3v59G8NlR8rk5xfQDKne0sAvZHSj7TI6I/edit?usp=sharing"",""พระนครศรีอยุธยา!M178"")+IMPORTRANGE(""https://docs.google.com/spreadsheets/d/1YXvxf8Yu6_rV4hTBrwMqAcAnv6DfhUxh5emyM3CJp_w/edit?usp=sharing"",""เพชรบุรี!M178"")+IMPORTRA"&amp;"NGE(""https://docs.google.com/spreadsheets/d/19KBlQQs7uwvsao6t2n-KvW3Ax8J8uRRfZPq1zPbXgKc/edit?usp=sharing"",""ระยอง!M178"")+IMPORTRANGE(""https://docs.google.com/spreadsheets/d/1jQ6P4QcrGM89YfqcC_PxOHGCMq5ezhucwJd8ci-NHng/edit?usp=sharing"",""ราชบุรี!M17"&amp;"8"")+IMPORTRANGE(""https://docs.google.com/spreadsheets/d/1lufeA2cfFqM-elVq2hznhDzC6Pr7wkJ9ZG_sYNGCMCU/edit?usp=sharing"",""ลพบุรี!M178"")+IMPORTRANGE(""https://docs.google.com/spreadsheets/d/10oOiF7loTyfsTkbd4MpaIm0HQ9SwB7IYHdIUvt-U1Uc/edit?usp=sharing"""&amp;",""สระแก้ว!M178"")+IMPORTRANGE(""https://docs.google.com/spreadsheets/d/1xmPlrr1QbdSIKvl1dWUl9K4PjAfSL9oeMr_37QVzcxc/edit?usp=sharing"",""สระบุรี!M178"")+IMPORTRANGE(""https://docs.google.com/spreadsheets/d/1j51vR6CYVGhABJpv6tkstgok82RLpXieLzW1yOY5rHw/edi"&amp;"t?usp=sharing"",""สิงห์บุรี!M178"")+IMPORTRANGE(""https://docs.google.com/spreadsheets/d/1H1EalTWKUSzO4Z1-1CwzoDUaVffgrThEBe2sl74kKG0/edit?usp=sharing"",""สุพรรณบุรี!M178"")+IMPORTRANGE(""https://docs.google.com/spreadsheets/d/1BmIruG_sIrJLYao_Pdr7zVArWsf"&amp;"oBt2692TMi6x_854/edit?usp=sharing"",""อ่างทอง!M178"")"),372210)</f>
        <v>372210</v>
      </c>
      <c r="N178" s="59">
        <f ca="1">IFERROR(__xludf.DUMMYFUNCTION("IMPORTRANGE(""https://docs.google.com/spreadsheets/d/13wPX838HrBrQMCywv1BsuMkt4PEKTChp52zj44s2izQ/edit?usp=sharing"",""กาญจนบุรี!N178"")+IMPORTRANGE(""https://docs.google.com/spreadsheets/d/1ddFKvqj1W1NEiWytbGlB1zMx_ykJDVtmfEQ-6-lIUBA/edit?usp=sharing"","&amp;"""จันทบุรี!N178"")+IMPORTRANGE(""https://docs.google.com/spreadsheets/d/1T1PQvRODqOBZk8BRht_U031fIS1beLA0Ub2CEytj2q0/edit?usp=sharing"",""ฉะเชิงเทรา!N178"")+IMPORTRANGE(""https://docs.google.com/spreadsheets/d/11tr1B-Bhyr79v2bkwVh5h_fR-PStkgjlZtkrZpYurG0/"&amp;"edit?usp=sharing"",""ชลบุรี!N178"")+IMPORTRANGE(""https://docs.google.com/spreadsheets/d/1hh-FVnSX0vozXhGluamEcS54Dw9_zqW0N7qJUWgJ0Sw/edit?usp=sharing"",""ชัยนาท!N178"")+IMPORTRANGE(""https://docs.google.com/spreadsheets/d/1jkqa6GXxSacMcY1eN8AHjMNJ_7dDXMJ"&amp;"VRLDlaFSOdPM/edit?usp=sharing"",""ตราด!N178"")+IMPORTRANGE(""https://docs.google.com/spreadsheets/d/18hSgUJ3VwClqi_qtULmmW3cLr0oe3OKaSYoKzdpTsYQ/edit?usp=sharing"",""นครนายก!N178"")+IMPORTRANGE(""https://docs.google.com/spreadsheets/d/1YTZo6WM2dQ6Ix6FSdnL"&amp;"5P7uVnVKu40sxZu975tgG10E/edit?usp=sharing"",""นครปฐม!N178"")+IMPORTRANGE(""https://docs.google.com/spreadsheets/d/1OYoGg4WDg5RIzwGeB10padOxJF9E_Vljuvvct_M7RDo/edit?usp=sharing"",""ปทุมธานี!N178"")+IMPORTRANGE(""https://docs.google.com/spreadsheets/d/1GbCI"&amp;"E4D4wk9FUozzqk7SxfDMxDVBwVmI5zcaVUSzKAc/edit?usp=sharing"",""ประจวบคีรีขันธ์!N178"")+IMPORTRANGE(""https://docs.google.com/spreadsheets/d/1vVf6wykvW_lAyu7Yo9L4hUTqHqIeP_qcVuxCtosJEbg/edit?usp=sharing"",""ปราจีนบุรี!N178"")+IMPORTRANGE(""https://docs.googl"&amp;"e.com/spreadsheets/d/1BIDqLLg5jk3v59G8NlR8rk5xfQDKne0sAvZHSj7TI6I/edit?usp=sharing"",""พระนครศรีอยุธยา!N178"")+IMPORTRANGE(""https://docs.google.com/spreadsheets/d/1YXvxf8Yu6_rV4hTBrwMqAcAnv6DfhUxh5emyM3CJp_w/edit?usp=sharing"",""เพชรบุรี!N178"")+IMPORTRA"&amp;"NGE(""https://docs.google.com/spreadsheets/d/19KBlQQs7uwvsao6t2n-KvW3Ax8J8uRRfZPq1zPbXgKc/edit?usp=sharing"",""ระยอง!N178"")+IMPORTRANGE(""https://docs.google.com/spreadsheets/d/1jQ6P4QcrGM89YfqcC_PxOHGCMq5ezhucwJd8ci-NHng/edit?usp=sharing"",""ราชบุรี!N17"&amp;"8"")+IMPORTRANGE(""https://docs.google.com/spreadsheets/d/1lufeA2cfFqM-elVq2hznhDzC6Pr7wkJ9ZG_sYNGCMCU/edit?usp=sharing"",""ลพบุรี!N178"")+IMPORTRANGE(""https://docs.google.com/spreadsheets/d/10oOiF7loTyfsTkbd4MpaIm0HQ9SwB7IYHdIUvt-U1Uc/edit?usp=sharing"""&amp;",""สระแก้ว!N178"")+IMPORTRANGE(""https://docs.google.com/spreadsheets/d/1xmPlrr1QbdSIKvl1dWUl9K4PjAfSL9oeMr_37QVzcxc/edit?usp=sharing"",""สระบุรี!N178"")+IMPORTRANGE(""https://docs.google.com/spreadsheets/d/1j51vR6CYVGhABJpv6tkstgok82RLpXieLzW1yOY5rHw/edi"&amp;"t?usp=sharing"",""สิงห์บุรี!N178"")+IMPORTRANGE(""https://docs.google.com/spreadsheets/d/1H1EalTWKUSzO4Z1-1CwzoDUaVffgrThEBe2sl74kKG0/edit?usp=sharing"",""สุพรรณบุรี!N178"")+IMPORTRANGE(""https://docs.google.com/spreadsheets/d/1BmIruG_sIrJLYao_Pdr7zVArWsf"&amp;"oBt2692TMi6x_854/edit?usp=sharing"",""อ่างทอง!N178"")"),134390)</f>
        <v>134390</v>
      </c>
      <c r="O178" s="59">
        <f t="shared" ca="1" si="84"/>
        <v>36.105961688294244</v>
      </c>
      <c r="P178" s="59">
        <f t="shared" ca="1" si="85"/>
        <v>36.105961688294244</v>
      </c>
    </row>
    <row r="179" spans="1:16" ht="18.75" x14ac:dyDescent="0.25">
      <c r="A179" s="157"/>
      <c r="B179" s="53"/>
      <c r="C179" s="53"/>
      <c r="D179" s="54" t="s">
        <v>21</v>
      </c>
      <c r="E179" s="53"/>
      <c r="F179" s="53"/>
      <c r="G179" s="55"/>
      <c r="H179" s="166" t="s">
        <v>12</v>
      </c>
      <c r="I179" s="164"/>
      <c r="J179" s="164"/>
      <c r="K179" s="165"/>
      <c r="L179" s="59">
        <f t="shared" ref="L179:N179" ca="1" si="89">L180+L181</f>
        <v>0</v>
      </c>
      <c r="M179" s="59">
        <f t="shared" ca="1" si="89"/>
        <v>0</v>
      </c>
      <c r="N179" s="59">
        <f t="shared" ca="1" si="89"/>
        <v>0</v>
      </c>
      <c r="O179" s="59">
        <f t="shared" ca="1" si="84"/>
        <v>0</v>
      </c>
      <c r="P179" s="59">
        <f t="shared" ca="1" si="85"/>
        <v>0</v>
      </c>
    </row>
    <row r="180" spans="1:16" ht="18.75" x14ac:dyDescent="0.25">
      <c r="A180" s="157"/>
      <c r="B180" s="53"/>
      <c r="C180" s="53"/>
      <c r="D180" s="53"/>
      <c r="E180" s="60" t="s">
        <v>18</v>
      </c>
      <c r="F180" s="53"/>
      <c r="G180" s="55"/>
      <c r="H180" s="163" t="s">
        <v>12</v>
      </c>
      <c r="I180" s="164"/>
      <c r="J180" s="164"/>
      <c r="K180" s="165"/>
      <c r="L180" s="59">
        <f ca="1">IFERROR(__xludf.DUMMYFUNCTION("IMPORTRANGE(""https://docs.google.com/spreadsheets/d/13wPX838HrBrQMCywv1BsuMkt4PEKTChp52zj44s2izQ/edit?usp=sharing"",""กาญจนบุรี!L180"")+IMPORTRANGE(""https://docs.google.com/spreadsheets/d/1ddFKvqj1W1NEiWytbGlB1zMx_ykJDVtmfEQ-6-lIUBA/edit?usp=sharing"","&amp;"""จันทบุรี!L180"")+IMPORTRANGE(""https://docs.google.com/spreadsheets/d/1T1PQvRODqOBZk8BRht_U031fIS1beLA0Ub2CEytj2q0/edit?usp=sharing"",""ฉะเชิงเทรา!L180"")+IMPORTRANGE(""https://docs.google.com/spreadsheets/d/11tr1B-Bhyr79v2bkwVh5h_fR-PStkgjlZtkrZpYurG0/"&amp;"edit?usp=sharing"",""ชลบุรี!L180"")+IMPORTRANGE(""https://docs.google.com/spreadsheets/d/1hh-FVnSX0vozXhGluamEcS54Dw9_zqW0N7qJUWgJ0Sw/edit?usp=sharing"",""ชัยนาท!L180"")+IMPORTRANGE(""https://docs.google.com/spreadsheets/d/1jkqa6GXxSacMcY1eN8AHjMNJ_7dDXMJ"&amp;"VRLDlaFSOdPM/edit?usp=sharing"",""ตราด!L180"")+IMPORTRANGE(""https://docs.google.com/spreadsheets/d/18hSgUJ3VwClqi_qtULmmW3cLr0oe3OKaSYoKzdpTsYQ/edit?usp=sharing"",""นครนายก!L180"")+IMPORTRANGE(""https://docs.google.com/spreadsheets/d/1YTZo6WM2dQ6Ix6FSdnL"&amp;"5P7uVnVKu40sxZu975tgG10E/edit?usp=sharing"",""นครปฐม!L180"")+IMPORTRANGE(""https://docs.google.com/spreadsheets/d/1OYoGg4WDg5RIzwGeB10padOxJF9E_Vljuvvct_M7RDo/edit?usp=sharing"",""ปทุมธานี!L180"")+IMPORTRANGE(""https://docs.google.com/spreadsheets/d/1GbCI"&amp;"E4D4wk9FUozzqk7SxfDMxDVBwVmI5zcaVUSzKAc/edit?usp=sharing"",""ประจวบคีรีขันธ์!L180"")+IMPORTRANGE(""https://docs.google.com/spreadsheets/d/1vVf6wykvW_lAyu7Yo9L4hUTqHqIeP_qcVuxCtosJEbg/edit?usp=sharing"",""ปราจีนบุรี!L180"")+IMPORTRANGE(""https://docs.googl"&amp;"e.com/spreadsheets/d/1BIDqLLg5jk3v59G8NlR8rk5xfQDKne0sAvZHSj7TI6I/edit?usp=sharing"",""พระนครศรีอยุธยา!L180"")+IMPORTRANGE(""https://docs.google.com/spreadsheets/d/1YXvxf8Yu6_rV4hTBrwMqAcAnv6DfhUxh5emyM3CJp_w/edit?usp=sharing"",""เพชรบุรี!L180"")+IMPORTRA"&amp;"NGE(""https://docs.google.com/spreadsheets/d/19KBlQQs7uwvsao6t2n-KvW3Ax8J8uRRfZPq1zPbXgKc/edit?usp=sharing"",""ระยอง!L180"")+IMPORTRANGE(""https://docs.google.com/spreadsheets/d/1jQ6P4QcrGM89YfqcC_PxOHGCMq5ezhucwJd8ci-NHng/edit?usp=sharing"",""ราชบุรี!L18"&amp;"0"")+IMPORTRANGE(""https://docs.google.com/spreadsheets/d/1lufeA2cfFqM-elVq2hznhDzC6Pr7wkJ9ZG_sYNGCMCU/edit?usp=sharing"",""ลพบุรี!L180"")+IMPORTRANGE(""https://docs.google.com/spreadsheets/d/10oOiF7loTyfsTkbd4MpaIm0HQ9SwB7IYHdIUvt-U1Uc/edit?usp=sharing"""&amp;",""สระแก้ว!L180"")+IMPORTRANGE(""https://docs.google.com/spreadsheets/d/1xmPlrr1QbdSIKvl1dWUl9K4PjAfSL9oeMr_37QVzcxc/edit?usp=sharing"",""สระบุรี!L180"")+IMPORTRANGE(""https://docs.google.com/spreadsheets/d/1j51vR6CYVGhABJpv6tkstgok82RLpXieLzW1yOY5rHw/edi"&amp;"t?usp=sharing"",""สิงห์บุรี!L180"")+IMPORTRANGE(""https://docs.google.com/spreadsheets/d/1H1EalTWKUSzO4Z1-1CwzoDUaVffgrThEBe2sl74kKG0/edit?usp=sharing"",""สุพรรณบุรี!L180"")+IMPORTRANGE(""https://docs.google.com/spreadsheets/d/1BmIruG_sIrJLYao_Pdr7zVArWsf"&amp;"oBt2692TMi6x_854/edit?usp=sharing"",""อ่างทอง!L180"")"),0)</f>
        <v>0</v>
      </c>
      <c r="M180" s="59">
        <f ca="1">IFERROR(__xludf.DUMMYFUNCTION("IMPORTRANGE(""https://docs.google.com/spreadsheets/d/13wPX838HrBrQMCywv1BsuMkt4PEKTChp52zj44s2izQ/edit?usp=sharing"",""กาญจนบุรี!M180"")+IMPORTRANGE(""https://docs.google.com/spreadsheets/d/1ddFKvqj1W1NEiWytbGlB1zMx_ykJDVtmfEQ-6-lIUBA/edit?usp=sharing"","&amp;"""จันทบุรี!M180"")+IMPORTRANGE(""https://docs.google.com/spreadsheets/d/1T1PQvRODqOBZk8BRht_U031fIS1beLA0Ub2CEytj2q0/edit?usp=sharing"",""ฉะเชิงเทรา!M180"")+IMPORTRANGE(""https://docs.google.com/spreadsheets/d/11tr1B-Bhyr79v2bkwVh5h_fR-PStkgjlZtkrZpYurG0/"&amp;"edit?usp=sharing"",""ชลบุรี!M180"")+IMPORTRANGE(""https://docs.google.com/spreadsheets/d/1hh-FVnSX0vozXhGluamEcS54Dw9_zqW0N7qJUWgJ0Sw/edit?usp=sharing"",""ชัยนาท!M180"")+IMPORTRANGE(""https://docs.google.com/spreadsheets/d/1jkqa6GXxSacMcY1eN8AHjMNJ_7dDXMJ"&amp;"VRLDlaFSOdPM/edit?usp=sharing"",""ตราด!M180"")+IMPORTRANGE(""https://docs.google.com/spreadsheets/d/18hSgUJ3VwClqi_qtULmmW3cLr0oe3OKaSYoKzdpTsYQ/edit?usp=sharing"",""นครนายก!M180"")+IMPORTRANGE(""https://docs.google.com/spreadsheets/d/1YTZo6WM2dQ6Ix6FSdnL"&amp;"5P7uVnVKu40sxZu975tgG10E/edit?usp=sharing"",""นครปฐม!M180"")+IMPORTRANGE(""https://docs.google.com/spreadsheets/d/1OYoGg4WDg5RIzwGeB10padOxJF9E_Vljuvvct_M7RDo/edit?usp=sharing"",""ปทุมธานี!M180"")+IMPORTRANGE(""https://docs.google.com/spreadsheets/d/1GbCI"&amp;"E4D4wk9FUozzqk7SxfDMxDVBwVmI5zcaVUSzKAc/edit?usp=sharing"",""ประจวบคีรีขันธ์!M180"")+IMPORTRANGE(""https://docs.google.com/spreadsheets/d/1vVf6wykvW_lAyu7Yo9L4hUTqHqIeP_qcVuxCtosJEbg/edit?usp=sharing"",""ปราจีนบุรี!M180"")+IMPORTRANGE(""https://docs.googl"&amp;"e.com/spreadsheets/d/1BIDqLLg5jk3v59G8NlR8rk5xfQDKne0sAvZHSj7TI6I/edit?usp=sharing"",""พระนครศรีอยุธยา!M180"")+IMPORTRANGE(""https://docs.google.com/spreadsheets/d/1YXvxf8Yu6_rV4hTBrwMqAcAnv6DfhUxh5emyM3CJp_w/edit?usp=sharing"",""เพชรบุรี!M180"")+IMPORTRA"&amp;"NGE(""https://docs.google.com/spreadsheets/d/19KBlQQs7uwvsao6t2n-KvW3Ax8J8uRRfZPq1zPbXgKc/edit?usp=sharing"",""ระยอง!M180"")+IMPORTRANGE(""https://docs.google.com/spreadsheets/d/1jQ6P4QcrGM89YfqcC_PxOHGCMq5ezhucwJd8ci-NHng/edit?usp=sharing"",""ราชบุรี!M18"&amp;"0"")+IMPORTRANGE(""https://docs.google.com/spreadsheets/d/1lufeA2cfFqM-elVq2hznhDzC6Pr7wkJ9ZG_sYNGCMCU/edit?usp=sharing"",""ลพบุรี!M180"")+IMPORTRANGE(""https://docs.google.com/spreadsheets/d/10oOiF7loTyfsTkbd4MpaIm0HQ9SwB7IYHdIUvt-U1Uc/edit?usp=sharing"""&amp;",""สระแก้ว!M180"")+IMPORTRANGE(""https://docs.google.com/spreadsheets/d/1xmPlrr1QbdSIKvl1dWUl9K4PjAfSL9oeMr_37QVzcxc/edit?usp=sharing"",""สระบุรี!M180"")+IMPORTRANGE(""https://docs.google.com/spreadsheets/d/1j51vR6CYVGhABJpv6tkstgok82RLpXieLzW1yOY5rHw/edi"&amp;"t?usp=sharing"",""สิงห์บุรี!M180"")+IMPORTRANGE(""https://docs.google.com/spreadsheets/d/1H1EalTWKUSzO4Z1-1CwzoDUaVffgrThEBe2sl74kKG0/edit?usp=sharing"",""สุพรรณบุรี!M180"")+IMPORTRANGE(""https://docs.google.com/spreadsheets/d/1BmIruG_sIrJLYao_Pdr7zVArWsf"&amp;"oBt2692TMi6x_854/edit?usp=sharing"",""อ่างทอง!M180"")"),0)</f>
        <v>0</v>
      </c>
      <c r="N180" s="59">
        <f ca="1">IFERROR(__xludf.DUMMYFUNCTION("IMPORTRANGE(""https://docs.google.com/spreadsheets/d/13wPX838HrBrQMCywv1BsuMkt4PEKTChp52zj44s2izQ/edit?usp=sharing"",""กาญจนบุรี!N180"")+IMPORTRANGE(""https://docs.google.com/spreadsheets/d/1ddFKvqj1W1NEiWytbGlB1zMx_ykJDVtmfEQ-6-lIUBA/edit?usp=sharing"","&amp;"""จันทบุรี!N180"")+IMPORTRANGE(""https://docs.google.com/spreadsheets/d/1T1PQvRODqOBZk8BRht_U031fIS1beLA0Ub2CEytj2q0/edit?usp=sharing"",""ฉะเชิงเทรา!N180"")+IMPORTRANGE(""https://docs.google.com/spreadsheets/d/11tr1B-Bhyr79v2bkwVh5h_fR-PStkgjlZtkrZpYurG0/"&amp;"edit?usp=sharing"",""ชลบุรี!N180"")+IMPORTRANGE(""https://docs.google.com/spreadsheets/d/1hh-FVnSX0vozXhGluamEcS54Dw9_zqW0N7qJUWgJ0Sw/edit?usp=sharing"",""ชัยนาท!N180"")+IMPORTRANGE(""https://docs.google.com/spreadsheets/d/1jkqa6GXxSacMcY1eN8AHjMNJ_7dDXMJ"&amp;"VRLDlaFSOdPM/edit?usp=sharing"",""ตราด!N180"")+IMPORTRANGE(""https://docs.google.com/spreadsheets/d/18hSgUJ3VwClqi_qtULmmW3cLr0oe3OKaSYoKzdpTsYQ/edit?usp=sharing"",""นครนายก!N180"")+IMPORTRANGE(""https://docs.google.com/spreadsheets/d/1YTZo6WM2dQ6Ix6FSdnL"&amp;"5P7uVnVKu40sxZu975tgG10E/edit?usp=sharing"",""นครปฐม!N180"")+IMPORTRANGE(""https://docs.google.com/spreadsheets/d/1OYoGg4WDg5RIzwGeB10padOxJF9E_Vljuvvct_M7RDo/edit?usp=sharing"",""ปทุมธานี!N180"")+IMPORTRANGE(""https://docs.google.com/spreadsheets/d/1GbCI"&amp;"E4D4wk9FUozzqk7SxfDMxDVBwVmI5zcaVUSzKAc/edit?usp=sharing"",""ประจวบคีรีขันธ์!N180"")+IMPORTRANGE(""https://docs.google.com/spreadsheets/d/1vVf6wykvW_lAyu7Yo9L4hUTqHqIeP_qcVuxCtosJEbg/edit?usp=sharing"",""ปราจีนบุรี!N180"")+IMPORTRANGE(""https://docs.googl"&amp;"e.com/spreadsheets/d/1BIDqLLg5jk3v59G8NlR8rk5xfQDKne0sAvZHSj7TI6I/edit?usp=sharing"",""พระนครศรีอยุธยา!N180"")+IMPORTRANGE(""https://docs.google.com/spreadsheets/d/1YXvxf8Yu6_rV4hTBrwMqAcAnv6DfhUxh5emyM3CJp_w/edit?usp=sharing"",""เพชรบุรี!N180"")+IMPORTRA"&amp;"NGE(""https://docs.google.com/spreadsheets/d/19KBlQQs7uwvsao6t2n-KvW3Ax8J8uRRfZPq1zPbXgKc/edit?usp=sharing"",""ระยอง!N180"")+IMPORTRANGE(""https://docs.google.com/spreadsheets/d/1jQ6P4QcrGM89YfqcC_PxOHGCMq5ezhucwJd8ci-NHng/edit?usp=sharing"",""ราชบุรี!N18"&amp;"0"")+IMPORTRANGE(""https://docs.google.com/spreadsheets/d/1lufeA2cfFqM-elVq2hznhDzC6Pr7wkJ9ZG_sYNGCMCU/edit?usp=sharing"",""ลพบุรี!N180"")+IMPORTRANGE(""https://docs.google.com/spreadsheets/d/10oOiF7loTyfsTkbd4MpaIm0HQ9SwB7IYHdIUvt-U1Uc/edit?usp=sharing"""&amp;",""สระแก้ว!N180"")+IMPORTRANGE(""https://docs.google.com/spreadsheets/d/1xmPlrr1QbdSIKvl1dWUl9K4PjAfSL9oeMr_37QVzcxc/edit?usp=sharing"",""สระบุรี!N180"")+IMPORTRANGE(""https://docs.google.com/spreadsheets/d/1j51vR6CYVGhABJpv6tkstgok82RLpXieLzW1yOY5rHw/edi"&amp;"t?usp=sharing"",""สิงห์บุรี!N180"")+IMPORTRANGE(""https://docs.google.com/spreadsheets/d/1H1EalTWKUSzO4Z1-1CwzoDUaVffgrThEBe2sl74kKG0/edit?usp=sharing"",""สุพรรณบุรี!N180"")+IMPORTRANGE(""https://docs.google.com/spreadsheets/d/1BmIruG_sIrJLYao_Pdr7zVArWsf"&amp;"oBt2692TMi6x_854/edit?usp=sharing"",""อ่างทอง!N180"")"),0)</f>
        <v>0</v>
      </c>
      <c r="O180" s="59">
        <f t="shared" ca="1" si="84"/>
        <v>0</v>
      </c>
      <c r="P180" s="59">
        <f t="shared" ca="1" si="85"/>
        <v>0</v>
      </c>
    </row>
    <row r="181" spans="1:16" ht="18.75" x14ac:dyDescent="0.25">
      <c r="A181" s="157"/>
      <c r="B181" s="53"/>
      <c r="C181" s="53"/>
      <c r="D181" s="53"/>
      <c r="E181" s="60" t="s">
        <v>19</v>
      </c>
      <c r="F181" s="53"/>
      <c r="G181" s="55"/>
      <c r="H181" s="166" t="s">
        <v>12</v>
      </c>
      <c r="I181" s="164"/>
      <c r="J181" s="164"/>
      <c r="K181" s="165"/>
      <c r="L181" s="59">
        <f ca="1">IFERROR(__xludf.DUMMYFUNCTION("IMPORTRANGE(""https://docs.google.com/spreadsheets/d/13wPX838HrBrQMCywv1BsuMkt4PEKTChp52zj44s2izQ/edit?usp=sharing"",""กาญจนบุรี!L181"")+IMPORTRANGE(""https://docs.google.com/spreadsheets/d/1ddFKvqj1W1NEiWytbGlB1zMx_ykJDVtmfEQ-6-lIUBA/edit?usp=sharing"","&amp;"""จันทบุรี!L181"")+IMPORTRANGE(""https://docs.google.com/spreadsheets/d/1T1PQvRODqOBZk8BRht_U031fIS1beLA0Ub2CEytj2q0/edit?usp=sharing"",""ฉะเชิงเทรา!L181"")+IMPORTRANGE(""https://docs.google.com/spreadsheets/d/11tr1B-Bhyr79v2bkwVh5h_fR-PStkgjlZtkrZpYurG0/"&amp;"edit?usp=sharing"",""ชลบุรี!L181"")+IMPORTRANGE(""https://docs.google.com/spreadsheets/d/1hh-FVnSX0vozXhGluamEcS54Dw9_zqW0N7qJUWgJ0Sw/edit?usp=sharing"",""ชัยนาท!L181"")+IMPORTRANGE(""https://docs.google.com/spreadsheets/d/1jkqa6GXxSacMcY1eN8AHjMNJ_7dDXMJ"&amp;"VRLDlaFSOdPM/edit?usp=sharing"",""ตราด!L181"")+IMPORTRANGE(""https://docs.google.com/spreadsheets/d/18hSgUJ3VwClqi_qtULmmW3cLr0oe3OKaSYoKzdpTsYQ/edit?usp=sharing"",""นครนายก!L181"")+IMPORTRANGE(""https://docs.google.com/spreadsheets/d/1YTZo6WM2dQ6Ix6FSdnL"&amp;"5P7uVnVKu40sxZu975tgG10E/edit?usp=sharing"",""นครปฐม!L181"")+IMPORTRANGE(""https://docs.google.com/spreadsheets/d/1OYoGg4WDg5RIzwGeB10padOxJF9E_Vljuvvct_M7RDo/edit?usp=sharing"",""ปทุมธานี!L181"")+IMPORTRANGE(""https://docs.google.com/spreadsheets/d/1GbCI"&amp;"E4D4wk9FUozzqk7SxfDMxDVBwVmI5zcaVUSzKAc/edit?usp=sharing"",""ประจวบคีรีขันธ์!L181"")+IMPORTRANGE(""https://docs.google.com/spreadsheets/d/1vVf6wykvW_lAyu7Yo9L4hUTqHqIeP_qcVuxCtosJEbg/edit?usp=sharing"",""ปราจีนบุรี!L181"")+IMPORTRANGE(""https://docs.googl"&amp;"e.com/spreadsheets/d/1BIDqLLg5jk3v59G8NlR8rk5xfQDKne0sAvZHSj7TI6I/edit?usp=sharing"",""พระนครศรีอยุธยา!L181"")+IMPORTRANGE(""https://docs.google.com/spreadsheets/d/1YXvxf8Yu6_rV4hTBrwMqAcAnv6DfhUxh5emyM3CJp_w/edit?usp=sharing"",""เพชรบุรี!L181"")+IMPORTRA"&amp;"NGE(""https://docs.google.com/spreadsheets/d/19KBlQQs7uwvsao6t2n-KvW3Ax8J8uRRfZPq1zPbXgKc/edit?usp=sharing"",""ระยอง!L181"")+IMPORTRANGE(""https://docs.google.com/spreadsheets/d/1jQ6P4QcrGM89YfqcC_PxOHGCMq5ezhucwJd8ci-NHng/edit?usp=sharing"",""ราชบุรี!L18"&amp;"1"")+IMPORTRANGE(""https://docs.google.com/spreadsheets/d/1lufeA2cfFqM-elVq2hznhDzC6Pr7wkJ9ZG_sYNGCMCU/edit?usp=sharing"",""ลพบุรี!L181"")+IMPORTRANGE(""https://docs.google.com/spreadsheets/d/10oOiF7loTyfsTkbd4MpaIm0HQ9SwB7IYHdIUvt-U1Uc/edit?usp=sharing"""&amp;",""สระแก้ว!L181"")+IMPORTRANGE(""https://docs.google.com/spreadsheets/d/1xmPlrr1QbdSIKvl1dWUl9K4PjAfSL9oeMr_37QVzcxc/edit?usp=sharing"",""สระบุรี!L181"")+IMPORTRANGE(""https://docs.google.com/spreadsheets/d/1j51vR6CYVGhABJpv6tkstgok82RLpXieLzW1yOY5rHw/edi"&amp;"t?usp=sharing"",""สิงห์บุรี!L181"")+IMPORTRANGE(""https://docs.google.com/spreadsheets/d/1H1EalTWKUSzO4Z1-1CwzoDUaVffgrThEBe2sl74kKG0/edit?usp=sharing"",""สุพรรณบุรี!L181"")+IMPORTRANGE(""https://docs.google.com/spreadsheets/d/1BmIruG_sIrJLYao_Pdr7zVArWsf"&amp;"oBt2692TMi6x_854/edit?usp=sharing"",""อ่างทอง!L181"")"),0)</f>
        <v>0</v>
      </c>
      <c r="M181" s="59">
        <f ca="1">IFERROR(__xludf.DUMMYFUNCTION("IMPORTRANGE(""https://docs.google.com/spreadsheets/d/13wPX838HrBrQMCywv1BsuMkt4PEKTChp52zj44s2izQ/edit?usp=sharing"",""กาญจนบุรี!M181"")+IMPORTRANGE(""https://docs.google.com/spreadsheets/d/1ddFKvqj1W1NEiWytbGlB1zMx_ykJDVtmfEQ-6-lIUBA/edit?usp=sharing"","&amp;"""จันทบุรี!M181"")+IMPORTRANGE(""https://docs.google.com/spreadsheets/d/1T1PQvRODqOBZk8BRht_U031fIS1beLA0Ub2CEytj2q0/edit?usp=sharing"",""ฉะเชิงเทรา!M181"")+IMPORTRANGE(""https://docs.google.com/spreadsheets/d/11tr1B-Bhyr79v2bkwVh5h_fR-PStkgjlZtkrZpYurG0/"&amp;"edit?usp=sharing"",""ชลบุรี!M181"")+IMPORTRANGE(""https://docs.google.com/spreadsheets/d/1hh-FVnSX0vozXhGluamEcS54Dw9_zqW0N7qJUWgJ0Sw/edit?usp=sharing"",""ชัยนาท!M181"")+IMPORTRANGE(""https://docs.google.com/spreadsheets/d/1jkqa6GXxSacMcY1eN8AHjMNJ_7dDXMJ"&amp;"VRLDlaFSOdPM/edit?usp=sharing"",""ตราด!M181"")+IMPORTRANGE(""https://docs.google.com/spreadsheets/d/18hSgUJ3VwClqi_qtULmmW3cLr0oe3OKaSYoKzdpTsYQ/edit?usp=sharing"",""นครนายก!M181"")+IMPORTRANGE(""https://docs.google.com/spreadsheets/d/1YTZo6WM2dQ6Ix6FSdnL"&amp;"5P7uVnVKu40sxZu975tgG10E/edit?usp=sharing"",""นครปฐม!M181"")+IMPORTRANGE(""https://docs.google.com/spreadsheets/d/1OYoGg4WDg5RIzwGeB10padOxJF9E_Vljuvvct_M7RDo/edit?usp=sharing"",""ปทุมธานี!M181"")+IMPORTRANGE(""https://docs.google.com/spreadsheets/d/1GbCI"&amp;"E4D4wk9FUozzqk7SxfDMxDVBwVmI5zcaVUSzKAc/edit?usp=sharing"",""ประจวบคีรีขันธ์!M181"")+IMPORTRANGE(""https://docs.google.com/spreadsheets/d/1vVf6wykvW_lAyu7Yo9L4hUTqHqIeP_qcVuxCtosJEbg/edit?usp=sharing"",""ปราจีนบุรี!M181"")+IMPORTRANGE(""https://docs.googl"&amp;"e.com/spreadsheets/d/1BIDqLLg5jk3v59G8NlR8rk5xfQDKne0sAvZHSj7TI6I/edit?usp=sharing"",""พระนครศรีอยุธยา!M181"")+IMPORTRANGE(""https://docs.google.com/spreadsheets/d/1YXvxf8Yu6_rV4hTBrwMqAcAnv6DfhUxh5emyM3CJp_w/edit?usp=sharing"",""เพชรบุรี!M181"")+IMPORTRA"&amp;"NGE(""https://docs.google.com/spreadsheets/d/19KBlQQs7uwvsao6t2n-KvW3Ax8J8uRRfZPq1zPbXgKc/edit?usp=sharing"",""ระยอง!M181"")+IMPORTRANGE(""https://docs.google.com/spreadsheets/d/1jQ6P4QcrGM89YfqcC_PxOHGCMq5ezhucwJd8ci-NHng/edit?usp=sharing"",""ราชบุรี!M18"&amp;"1"")+IMPORTRANGE(""https://docs.google.com/spreadsheets/d/1lufeA2cfFqM-elVq2hznhDzC6Pr7wkJ9ZG_sYNGCMCU/edit?usp=sharing"",""ลพบุรี!M181"")+IMPORTRANGE(""https://docs.google.com/spreadsheets/d/10oOiF7loTyfsTkbd4MpaIm0HQ9SwB7IYHdIUvt-U1Uc/edit?usp=sharing"""&amp;",""สระแก้ว!M181"")+IMPORTRANGE(""https://docs.google.com/spreadsheets/d/1xmPlrr1QbdSIKvl1dWUl9K4PjAfSL9oeMr_37QVzcxc/edit?usp=sharing"",""สระบุรี!M181"")+IMPORTRANGE(""https://docs.google.com/spreadsheets/d/1j51vR6CYVGhABJpv6tkstgok82RLpXieLzW1yOY5rHw/edi"&amp;"t?usp=sharing"",""สิงห์บุรี!M181"")+IMPORTRANGE(""https://docs.google.com/spreadsheets/d/1H1EalTWKUSzO4Z1-1CwzoDUaVffgrThEBe2sl74kKG0/edit?usp=sharing"",""สุพรรณบุรี!M181"")+IMPORTRANGE(""https://docs.google.com/spreadsheets/d/1BmIruG_sIrJLYao_Pdr7zVArWsf"&amp;"oBt2692TMi6x_854/edit?usp=sharing"",""อ่างทอง!M181"")"),0)</f>
        <v>0</v>
      </c>
      <c r="N181" s="59">
        <f ca="1">IFERROR(__xludf.DUMMYFUNCTION("IMPORTRANGE(""https://docs.google.com/spreadsheets/d/13wPX838HrBrQMCywv1BsuMkt4PEKTChp52zj44s2izQ/edit?usp=sharing"",""กาญจนบุรี!N181"")+IMPORTRANGE(""https://docs.google.com/spreadsheets/d/1ddFKvqj1W1NEiWytbGlB1zMx_ykJDVtmfEQ-6-lIUBA/edit?usp=sharing"","&amp;"""จันทบุรี!N181"")+IMPORTRANGE(""https://docs.google.com/spreadsheets/d/1T1PQvRODqOBZk8BRht_U031fIS1beLA0Ub2CEytj2q0/edit?usp=sharing"",""ฉะเชิงเทรา!N181"")+IMPORTRANGE(""https://docs.google.com/spreadsheets/d/11tr1B-Bhyr79v2bkwVh5h_fR-PStkgjlZtkrZpYurG0/"&amp;"edit?usp=sharing"",""ชลบุรี!N181"")+IMPORTRANGE(""https://docs.google.com/spreadsheets/d/1hh-FVnSX0vozXhGluamEcS54Dw9_zqW0N7qJUWgJ0Sw/edit?usp=sharing"",""ชัยนาท!N181"")+IMPORTRANGE(""https://docs.google.com/spreadsheets/d/1jkqa6GXxSacMcY1eN8AHjMNJ_7dDXMJ"&amp;"VRLDlaFSOdPM/edit?usp=sharing"",""ตราด!N181"")+IMPORTRANGE(""https://docs.google.com/spreadsheets/d/18hSgUJ3VwClqi_qtULmmW3cLr0oe3OKaSYoKzdpTsYQ/edit?usp=sharing"",""นครนายก!N181"")+IMPORTRANGE(""https://docs.google.com/spreadsheets/d/1YTZo6WM2dQ6Ix6FSdnL"&amp;"5P7uVnVKu40sxZu975tgG10E/edit?usp=sharing"",""นครปฐม!N181"")+IMPORTRANGE(""https://docs.google.com/spreadsheets/d/1OYoGg4WDg5RIzwGeB10padOxJF9E_Vljuvvct_M7RDo/edit?usp=sharing"",""ปทุมธานี!N181"")+IMPORTRANGE(""https://docs.google.com/spreadsheets/d/1GbCI"&amp;"E4D4wk9FUozzqk7SxfDMxDVBwVmI5zcaVUSzKAc/edit?usp=sharing"",""ประจวบคีรีขันธ์!N181"")+IMPORTRANGE(""https://docs.google.com/spreadsheets/d/1vVf6wykvW_lAyu7Yo9L4hUTqHqIeP_qcVuxCtosJEbg/edit?usp=sharing"",""ปราจีนบุรี!N181"")+IMPORTRANGE(""https://docs.googl"&amp;"e.com/spreadsheets/d/1BIDqLLg5jk3v59G8NlR8rk5xfQDKne0sAvZHSj7TI6I/edit?usp=sharing"",""พระนครศรีอยุธยา!N181"")+IMPORTRANGE(""https://docs.google.com/spreadsheets/d/1YXvxf8Yu6_rV4hTBrwMqAcAnv6DfhUxh5emyM3CJp_w/edit?usp=sharing"",""เพชรบุรี!N181"")+IMPORTRA"&amp;"NGE(""https://docs.google.com/spreadsheets/d/19KBlQQs7uwvsao6t2n-KvW3Ax8J8uRRfZPq1zPbXgKc/edit?usp=sharing"",""ระยอง!N181"")+IMPORTRANGE(""https://docs.google.com/spreadsheets/d/1jQ6P4QcrGM89YfqcC_PxOHGCMq5ezhucwJd8ci-NHng/edit?usp=sharing"",""ราชบุรี!N18"&amp;"1"")+IMPORTRANGE(""https://docs.google.com/spreadsheets/d/1lufeA2cfFqM-elVq2hznhDzC6Pr7wkJ9ZG_sYNGCMCU/edit?usp=sharing"",""ลพบุรี!N181"")+IMPORTRANGE(""https://docs.google.com/spreadsheets/d/10oOiF7loTyfsTkbd4MpaIm0HQ9SwB7IYHdIUvt-U1Uc/edit?usp=sharing"""&amp;",""สระแก้ว!N181"")+IMPORTRANGE(""https://docs.google.com/spreadsheets/d/1xmPlrr1QbdSIKvl1dWUl9K4PjAfSL9oeMr_37QVzcxc/edit?usp=sharing"",""สระบุรี!N181"")+IMPORTRANGE(""https://docs.google.com/spreadsheets/d/1j51vR6CYVGhABJpv6tkstgok82RLpXieLzW1yOY5rHw/edi"&amp;"t?usp=sharing"",""สิงห์บุรี!N181"")+IMPORTRANGE(""https://docs.google.com/spreadsheets/d/1H1EalTWKUSzO4Z1-1CwzoDUaVffgrThEBe2sl74kKG0/edit?usp=sharing"",""สุพรรณบุรี!N181"")+IMPORTRANGE(""https://docs.google.com/spreadsheets/d/1BmIruG_sIrJLYao_Pdr7zVArWsf"&amp;"oBt2692TMi6x_854/edit?usp=sharing"",""อ่างทอง!N181"")"),0)</f>
        <v>0</v>
      </c>
      <c r="O181" s="59">
        <f t="shared" ca="1" si="84"/>
        <v>0</v>
      </c>
      <c r="P181" s="59">
        <f t="shared" ca="1" si="85"/>
        <v>0</v>
      </c>
    </row>
    <row r="182" spans="1:16" ht="19.5" x14ac:dyDescent="0.3">
      <c r="A182" s="167"/>
      <c r="B182" s="168"/>
      <c r="C182" s="158" t="s">
        <v>16</v>
      </c>
      <c r="D182" s="169" t="s">
        <v>36</v>
      </c>
      <c r="E182" s="170"/>
      <c r="F182" s="170"/>
      <c r="G182" s="171"/>
      <c r="H182" s="227"/>
      <c r="I182" s="57"/>
      <c r="J182" s="57"/>
      <c r="K182" s="58"/>
      <c r="L182" s="58"/>
      <c r="M182" s="58"/>
      <c r="N182" s="58"/>
      <c r="O182" s="58"/>
      <c r="P182" s="58"/>
    </row>
    <row r="183" spans="1:16" ht="18.75" x14ac:dyDescent="0.25">
      <c r="A183" s="276"/>
      <c r="B183" s="53"/>
      <c r="C183" s="277"/>
      <c r="D183" s="278" t="s">
        <v>69</v>
      </c>
      <c r="E183" s="53"/>
      <c r="F183" s="53"/>
      <c r="G183" s="55"/>
      <c r="H183" s="279" t="s">
        <v>33</v>
      </c>
      <c r="I183" s="182">
        <f ca="1">IFERROR(__xludf.DUMMYFUNCTION("IMPORTRANGE(""https://docs.google.com/spreadsheets/d/13wPX838HrBrQMCywv1BsuMkt4PEKTChp52zj44s2izQ/edit?usp=sharing"",""กาญจนบุรี!I183"")+IMPORTRANGE(""https://docs.google.com/spreadsheets/d/1ddFKvqj1W1NEiWytbGlB1zMx_ykJDVtmfEQ-6-lIUBA/edit?usp=sharing"","&amp;"""จันทบุรี!I183"")+IMPORTRANGE(""https://docs.google.com/spreadsheets/d/1T1PQvRODqOBZk8BRht_U031fIS1beLA0Ub2CEytj2q0/edit?usp=sharing"",""ฉะเชิงเทรา!I183"")+IMPORTRANGE(""https://docs.google.com/spreadsheets/d/11tr1B-Bhyr79v2bkwVh5h_fR-PStkgjlZtkrZpYurG0/"&amp;"edit?usp=sharing"",""ชลบุรี!I183"")+IMPORTRANGE(""https://docs.google.com/spreadsheets/d/1hh-FVnSX0vozXhGluamEcS54Dw9_zqW0N7qJUWgJ0Sw/edit?usp=sharing"",""ชัยนาท!I183"")+IMPORTRANGE(""https://docs.google.com/spreadsheets/d/1jkqa6GXxSacMcY1eN8AHjMNJ_7dDXMJ"&amp;"VRLDlaFSOdPM/edit?usp=sharing"",""ตราด!I183"")+IMPORTRANGE(""https://docs.google.com/spreadsheets/d/18hSgUJ3VwClqi_qtULmmW3cLr0oe3OKaSYoKzdpTsYQ/edit?usp=sharing"",""นครนายก!I183"")+IMPORTRANGE(""https://docs.google.com/spreadsheets/d/1YTZo6WM2dQ6Ix6FSdnL"&amp;"5P7uVnVKu40sxZu975tgG10E/edit?usp=sharing"",""นครปฐม!I183"")+IMPORTRANGE(""https://docs.google.com/spreadsheets/d/1OYoGg4WDg5RIzwGeB10padOxJF9E_Vljuvvct_M7RDo/edit?usp=sharing"",""ปทุมธานี!I183"")+IMPORTRANGE(""https://docs.google.com/spreadsheets/d/1GbCI"&amp;"E4D4wk9FUozzqk7SxfDMxDVBwVmI5zcaVUSzKAc/edit?usp=sharing"",""ประจวบคีรีขันธ์!I183"")+IMPORTRANGE(""https://docs.google.com/spreadsheets/d/1vVf6wykvW_lAyu7Yo9L4hUTqHqIeP_qcVuxCtosJEbg/edit?usp=sharing"",""ปราจีนบุรี!I183"")+IMPORTRANGE(""https://docs.googl"&amp;"e.com/spreadsheets/d/1BIDqLLg5jk3v59G8NlR8rk5xfQDKne0sAvZHSj7TI6I/edit?usp=sharing"",""พระนครศรีอยุธยา!I183"")+IMPORTRANGE(""https://docs.google.com/spreadsheets/d/1YXvxf8Yu6_rV4hTBrwMqAcAnv6DfhUxh5emyM3CJp_w/edit?usp=sharing"",""เพชรบุรี!I183"")+IMPORTRA"&amp;"NGE(""https://docs.google.com/spreadsheets/d/19KBlQQs7uwvsao6t2n-KvW3Ax8J8uRRfZPq1zPbXgKc/edit?usp=sharing"",""ระยอง!I183"")+IMPORTRANGE(""https://docs.google.com/spreadsheets/d/1jQ6P4QcrGM89YfqcC_PxOHGCMq5ezhucwJd8ci-NHng/edit?usp=sharing"",""ราชบุรี!I18"&amp;"3"")+IMPORTRANGE(""https://docs.google.com/spreadsheets/d/1lufeA2cfFqM-elVq2hznhDzC6Pr7wkJ9ZG_sYNGCMCU/edit?usp=sharing"",""ลพบุรี!I183"")+IMPORTRANGE(""https://docs.google.com/spreadsheets/d/10oOiF7loTyfsTkbd4MpaIm0HQ9SwB7IYHdIUvt-U1Uc/edit?usp=sharing"""&amp;",""สระแก้ว!I183"")+IMPORTRANGE(""https://docs.google.com/spreadsheets/d/1xmPlrr1QbdSIKvl1dWUl9K4PjAfSL9oeMr_37QVzcxc/edit?usp=sharing"",""สระบุรี!I183"")+IMPORTRANGE(""https://docs.google.com/spreadsheets/d/1j51vR6CYVGhABJpv6tkstgok82RLpXieLzW1yOY5rHw/edi"&amp;"t?usp=sharing"",""สิงห์บุรี!I183"")+IMPORTRANGE(""https://docs.google.com/spreadsheets/d/1H1EalTWKUSzO4Z1-1CwzoDUaVffgrThEBe2sl74kKG0/edit?usp=sharing"",""สุพรรณบุรี!I183"")+IMPORTRANGE(""https://docs.google.com/spreadsheets/d/1BmIruG_sIrJLYao_Pdr7zVArWsf"&amp;"oBt2692TMi6x_854/edit?usp=sharing"",""อ่างทอง!I183"")"),133)</f>
        <v>133</v>
      </c>
      <c r="J183" s="182">
        <f ca="1">IFERROR(__xludf.DUMMYFUNCTION("IMPORTRANGE(""https://docs.google.com/spreadsheets/d/13wPX838HrBrQMCywv1BsuMkt4PEKTChp52zj44s2izQ/edit?usp=sharing"",""กาญจนบุรี!J183"")+IMPORTRANGE(""https://docs.google.com/spreadsheets/d/1ddFKvqj1W1NEiWytbGlB1zMx_ykJDVtmfEQ-6-lIUBA/edit?usp=sharing"","&amp;"""จันทบุรี!J183"")+IMPORTRANGE(""https://docs.google.com/spreadsheets/d/1T1PQvRODqOBZk8BRht_U031fIS1beLA0Ub2CEytj2q0/edit?usp=sharing"",""ฉะเชิงเทรา!J183"")+IMPORTRANGE(""https://docs.google.com/spreadsheets/d/11tr1B-Bhyr79v2bkwVh5h_fR-PStkgjlZtkrZpYurG0/"&amp;"edit?usp=sharing"",""ชลบุรี!J183"")+IMPORTRANGE(""https://docs.google.com/spreadsheets/d/1hh-FVnSX0vozXhGluamEcS54Dw9_zqW0N7qJUWgJ0Sw/edit?usp=sharing"",""ชัยนาท!J183"")+IMPORTRANGE(""https://docs.google.com/spreadsheets/d/1jkqa6GXxSacMcY1eN8AHjMNJ_7dDXMJ"&amp;"VRLDlaFSOdPM/edit?usp=sharing"",""ตราด!J183"")+IMPORTRANGE(""https://docs.google.com/spreadsheets/d/18hSgUJ3VwClqi_qtULmmW3cLr0oe3OKaSYoKzdpTsYQ/edit?usp=sharing"",""นครนายก!J183"")+IMPORTRANGE(""https://docs.google.com/spreadsheets/d/1YTZo6WM2dQ6Ix6FSdnL"&amp;"5P7uVnVKu40sxZu975tgG10E/edit?usp=sharing"",""นครปฐม!J183"")+IMPORTRANGE(""https://docs.google.com/spreadsheets/d/1OYoGg4WDg5RIzwGeB10padOxJF9E_Vljuvvct_M7RDo/edit?usp=sharing"",""ปทุมธานี!J183"")+IMPORTRANGE(""https://docs.google.com/spreadsheets/d/1GbCI"&amp;"E4D4wk9FUozzqk7SxfDMxDVBwVmI5zcaVUSzKAc/edit?usp=sharing"",""ประจวบคีรีขันธ์!J183"")+IMPORTRANGE(""https://docs.google.com/spreadsheets/d/1vVf6wykvW_lAyu7Yo9L4hUTqHqIeP_qcVuxCtosJEbg/edit?usp=sharing"",""ปราจีนบุรี!J183"")+IMPORTRANGE(""https://docs.googl"&amp;"e.com/spreadsheets/d/1BIDqLLg5jk3v59G8NlR8rk5xfQDKne0sAvZHSj7TI6I/edit?usp=sharing"",""พระนครศรีอยุธยา!J183"")+IMPORTRANGE(""https://docs.google.com/spreadsheets/d/1YXvxf8Yu6_rV4hTBrwMqAcAnv6DfhUxh5emyM3CJp_w/edit?usp=sharing"",""เพชรบุรี!J183"")+IMPORTRA"&amp;"NGE(""https://docs.google.com/spreadsheets/d/19KBlQQs7uwvsao6t2n-KvW3Ax8J8uRRfZPq1zPbXgKc/edit?usp=sharing"",""ระยอง!J183"")+IMPORTRANGE(""https://docs.google.com/spreadsheets/d/1jQ6P4QcrGM89YfqcC_PxOHGCMq5ezhucwJd8ci-NHng/edit?usp=sharing"",""ราชบุรี!J18"&amp;"3"")+IMPORTRANGE(""https://docs.google.com/spreadsheets/d/1lufeA2cfFqM-elVq2hznhDzC6Pr7wkJ9ZG_sYNGCMCU/edit?usp=sharing"",""ลพบุรี!J183"")+IMPORTRANGE(""https://docs.google.com/spreadsheets/d/10oOiF7loTyfsTkbd4MpaIm0HQ9SwB7IYHdIUvt-U1Uc/edit?usp=sharing"""&amp;",""สระแก้ว!J183"")+IMPORTRANGE(""https://docs.google.com/spreadsheets/d/1xmPlrr1QbdSIKvl1dWUl9K4PjAfSL9oeMr_37QVzcxc/edit?usp=sharing"",""สระบุรี!J183"")+IMPORTRANGE(""https://docs.google.com/spreadsheets/d/1j51vR6CYVGhABJpv6tkstgok82RLpXieLzW1yOY5rHw/edi"&amp;"t?usp=sharing"",""สิงห์บุรี!J183"")+IMPORTRANGE(""https://docs.google.com/spreadsheets/d/1H1EalTWKUSzO4Z1-1CwzoDUaVffgrThEBe2sl74kKG0/edit?usp=sharing"",""สุพรรณบุรี!J183"")+IMPORTRANGE(""https://docs.google.com/spreadsheets/d/1BmIruG_sIrJLYao_Pdr7zVArWsf"&amp;"oBt2692TMi6x_854/edit?usp=sharing"",""อ่างทอง!J183"")"),35)</f>
        <v>35</v>
      </c>
      <c r="K183" s="59">
        <f t="shared" ref="K183:K185" ca="1" si="90">IF(I183&gt;0,J183*100/I183,0)</f>
        <v>26.315789473684209</v>
      </c>
      <c r="L183" s="58"/>
      <c r="M183" s="58"/>
      <c r="N183" s="58"/>
      <c r="O183" s="58"/>
      <c r="P183" s="58"/>
    </row>
    <row r="184" spans="1:16" ht="18.75" x14ac:dyDescent="0.25">
      <c r="A184" s="276"/>
      <c r="B184" s="280"/>
      <c r="C184" s="277"/>
      <c r="D184" s="278" t="s">
        <v>70</v>
      </c>
      <c r="E184" s="53"/>
      <c r="F184" s="53"/>
      <c r="G184" s="55"/>
      <c r="H184" s="279" t="s">
        <v>33</v>
      </c>
      <c r="I184" s="182">
        <v>70</v>
      </c>
      <c r="J184" s="182">
        <v>0</v>
      </c>
      <c r="K184" s="59">
        <f t="shared" si="90"/>
        <v>0</v>
      </c>
      <c r="L184" s="58"/>
      <c r="M184" s="58"/>
      <c r="N184" s="58"/>
      <c r="O184" s="58"/>
      <c r="P184" s="58"/>
    </row>
    <row r="185" spans="1:16" ht="19.5" x14ac:dyDescent="0.3">
      <c r="A185" s="269"/>
      <c r="B185" s="270" t="s">
        <v>71</v>
      </c>
      <c r="C185" s="271"/>
      <c r="D185" s="170"/>
      <c r="E185" s="170"/>
      <c r="F185" s="170"/>
      <c r="G185" s="171"/>
      <c r="H185" s="272" t="s">
        <v>33</v>
      </c>
      <c r="I185" s="273">
        <f t="shared" ref="I185:J185" ca="1" si="91">I230+I231</f>
        <v>0</v>
      </c>
      <c r="J185" s="273">
        <f t="shared" ca="1" si="91"/>
        <v>0</v>
      </c>
      <c r="K185" s="274">
        <f t="shared" ca="1" si="90"/>
        <v>0</v>
      </c>
      <c r="L185" s="275"/>
      <c r="M185" s="275"/>
      <c r="N185" s="275"/>
      <c r="O185" s="275"/>
      <c r="P185" s="275"/>
    </row>
    <row r="186" spans="1:16" ht="19.5" x14ac:dyDescent="0.3">
      <c r="A186" s="157"/>
      <c r="B186" s="53"/>
      <c r="C186" s="158" t="s">
        <v>16</v>
      </c>
      <c r="D186" s="159" t="s">
        <v>17</v>
      </c>
      <c r="E186" s="53"/>
      <c r="F186" s="53"/>
      <c r="G186" s="55"/>
      <c r="H186" s="160" t="s">
        <v>12</v>
      </c>
      <c r="I186" s="57"/>
      <c r="J186" s="57"/>
      <c r="K186" s="58"/>
      <c r="L186" s="161">
        <f t="shared" ref="L186:N186" ca="1" si="92">L187+L188</f>
        <v>3396000</v>
      </c>
      <c r="M186" s="161">
        <f t="shared" ca="1" si="92"/>
        <v>2724225</v>
      </c>
      <c r="N186" s="161">
        <f t="shared" ca="1" si="92"/>
        <v>809619.79</v>
      </c>
      <c r="O186" s="161">
        <f t="shared" ref="O186:O194" ca="1" si="93">IF(L186&gt;0,N186*100/L186,0)</f>
        <v>23.840394287396936</v>
      </c>
      <c r="P186" s="161">
        <f t="shared" ref="P186:P194" ca="1" si="94">IF(M186&gt;0,N186*100/M186,0)</f>
        <v>29.71927025117235</v>
      </c>
    </row>
    <row r="187" spans="1:16" ht="18.75" x14ac:dyDescent="0.25">
      <c r="A187" s="157"/>
      <c r="B187" s="53"/>
      <c r="C187" s="53"/>
      <c r="D187" s="53"/>
      <c r="E187" s="60" t="s">
        <v>18</v>
      </c>
      <c r="F187" s="53"/>
      <c r="G187" s="55"/>
      <c r="H187" s="162" t="s">
        <v>12</v>
      </c>
      <c r="I187" s="57"/>
      <c r="J187" s="57"/>
      <c r="K187" s="58"/>
      <c r="L187" s="59">
        <f t="shared" ref="L187:N187" ca="1" si="95">L190+L193</f>
        <v>0</v>
      </c>
      <c r="M187" s="59">
        <f t="shared" ca="1" si="95"/>
        <v>0</v>
      </c>
      <c r="N187" s="59">
        <f t="shared" ca="1" si="95"/>
        <v>0</v>
      </c>
      <c r="O187" s="59">
        <f t="shared" ca="1" si="93"/>
        <v>0</v>
      </c>
      <c r="P187" s="59">
        <f t="shared" ca="1" si="94"/>
        <v>0</v>
      </c>
    </row>
    <row r="188" spans="1:16" ht="18.75" x14ac:dyDescent="0.25">
      <c r="A188" s="157"/>
      <c r="B188" s="53"/>
      <c r="C188" s="53"/>
      <c r="D188" s="53"/>
      <c r="E188" s="60" t="s">
        <v>19</v>
      </c>
      <c r="F188" s="53"/>
      <c r="G188" s="55"/>
      <c r="H188" s="162" t="s">
        <v>12</v>
      </c>
      <c r="I188" s="57"/>
      <c r="J188" s="57"/>
      <c r="K188" s="58"/>
      <c r="L188" s="59">
        <f t="shared" ref="L188:N188" ca="1" si="96">L191+L194</f>
        <v>3396000</v>
      </c>
      <c r="M188" s="59">
        <f t="shared" ca="1" si="96"/>
        <v>2724225</v>
      </c>
      <c r="N188" s="59">
        <f t="shared" ca="1" si="96"/>
        <v>809619.79</v>
      </c>
      <c r="O188" s="59">
        <f t="shared" ca="1" si="93"/>
        <v>23.840394287396936</v>
      </c>
      <c r="P188" s="59">
        <f t="shared" ca="1" si="94"/>
        <v>29.71927025117235</v>
      </c>
    </row>
    <row r="189" spans="1:16" ht="18.75" x14ac:dyDescent="0.25">
      <c r="A189" s="157"/>
      <c r="B189" s="53"/>
      <c r="C189" s="53"/>
      <c r="D189" s="54" t="s">
        <v>20</v>
      </c>
      <c r="E189" s="53"/>
      <c r="F189" s="53"/>
      <c r="G189" s="55"/>
      <c r="H189" s="163" t="s">
        <v>12</v>
      </c>
      <c r="I189" s="164"/>
      <c r="J189" s="164"/>
      <c r="K189" s="165"/>
      <c r="L189" s="59">
        <f t="shared" ref="L189:N189" ca="1" si="97">L190+L191</f>
        <v>3396000</v>
      </c>
      <c r="M189" s="59">
        <f t="shared" ca="1" si="97"/>
        <v>2724225</v>
      </c>
      <c r="N189" s="59">
        <f t="shared" ca="1" si="97"/>
        <v>809619.79</v>
      </c>
      <c r="O189" s="59">
        <f t="shared" ca="1" si="93"/>
        <v>23.840394287396936</v>
      </c>
      <c r="P189" s="59">
        <f t="shared" ca="1" si="94"/>
        <v>29.71927025117235</v>
      </c>
    </row>
    <row r="190" spans="1:16" ht="18.75" x14ac:dyDescent="0.25">
      <c r="A190" s="157"/>
      <c r="B190" s="53"/>
      <c r="C190" s="53"/>
      <c r="D190" s="53"/>
      <c r="E190" s="60" t="s">
        <v>34</v>
      </c>
      <c r="F190" s="53"/>
      <c r="G190" s="55"/>
      <c r="H190" s="163" t="s">
        <v>12</v>
      </c>
      <c r="I190" s="164"/>
      <c r="J190" s="164"/>
      <c r="K190" s="165"/>
      <c r="L190" s="59">
        <f ca="1">IFERROR(__xludf.DUMMYFUNCTION("IMPORTRANGE(""https://docs.google.com/spreadsheets/d/13wPX838HrBrQMCywv1BsuMkt4PEKTChp52zj44s2izQ/edit?usp=sharing"",""กาญจนบุรี!L190"")+IMPORTRANGE(""https://docs.google.com/spreadsheets/d/1ddFKvqj1W1NEiWytbGlB1zMx_ykJDVtmfEQ-6-lIUBA/edit?usp=sharing"","&amp;"""จันทบุรี!L190"")+IMPORTRANGE(""https://docs.google.com/spreadsheets/d/1T1PQvRODqOBZk8BRht_U031fIS1beLA0Ub2CEytj2q0/edit?usp=sharing"",""ฉะเชิงเทรา!L190"")+IMPORTRANGE(""https://docs.google.com/spreadsheets/d/11tr1B-Bhyr79v2bkwVh5h_fR-PStkgjlZtkrZpYurG0/"&amp;"edit?usp=sharing"",""ชลบุรี!L190"")+IMPORTRANGE(""https://docs.google.com/spreadsheets/d/1hh-FVnSX0vozXhGluamEcS54Dw9_zqW0N7qJUWgJ0Sw/edit?usp=sharing"",""ชัยนาท!L190"")+IMPORTRANGE(""https://docs.google.com/spreadsheets/d/1jkqa6GXxSacMcY1eN8AHjMNJ_7dDXMJ"&amp;"VRLDlaFSOdPM/edit?usp=sharing"",""ตราด!L190"")+IMPORTRANGE(""https://docs.google.com/spreadsheets/d/18hSgUJ3VwClqi_qtULmmW3cLr0oe3OKaSYoKzdpTsYQ/edit?usp=sharing"",""นครนายก!L190"")+IMPORTRANGE(""https://docs.google.com/spreadsheets/d/1YTZo6WM2dQ6Ix6FSdnL"&amp;"5P7uVnVKu40sxZu975tgG10E/edit?usp=sharing"",""นครปฐม!L190"")+IMPORTRANGE(""https://docs.google.com/spreadsheets/d/1OYoGg4WDg5RIzwGeB10padOxJF9E_Vljuvvct_M7RDo/edit?usp=sharing"",""ปทุมธานี!L190"")+IMPORTRANGE(""https://docs.google.com/spreadsheets/d/1GbCI"&amp;"E4D4wk9FUozzqk7SxfDMxDVBwVmI5zcaVUSzKAc/edit?usp=sharing"",""ประจวบคีรีขันธ์!L190"")+IMPORTRANGE(""https://docs.google.com/spreadsheets/d/1vVf6wykvW_lAyu7Yo9L4hUTqHqIeP_qcVuxCtosJEbg/edit?usp=sharing"",""ปราจีนบุรี!L190"")+IMPORTRANGE(""https://docs.googl"&amp;"e.com/spreadsheets/d/1BIDqLLg5jk3v59G8NlR8rk5xfQDKne0sAvZHSj7TI6I/edit?usp=sharing"",""พระนครศรีอยุธยา!L190"")+IMPORTRANGE(""https://docs.google.com/spreadsheets/d/1YXvxf8Yu6_rV4hTBrwMqAcAnv6DfhUxh5emyM3CJp_w/edit?usp=sharing"",""เพชรบุรี!L190"")+IMPORTRA"&amp;"NGE(""https://docs.google.com/spreadsheets/d/19KBlQQs7uwvsao6t2n-KvW3Ax8J8uRRfZPq1zPbXgKc/edit?usp=sharing"",""ระยอง!L190"")+IMPORTRANGE(""https://docs.google.com/spreadsheets/d/1jQ6P4QcrGM89YfqcC_PxOHGCMq5ezhucwJd8ci-NHng/edit?usp=sharing"",""ราชบุรี!L19"&amp;"0"")+IMPORTRANGE(""https://docs.google.com/spreadsheets/d/1lufeA2cfFqM-elVq2hznhDzC6Pr7wkJ9ZG_sYNGCMCU/edit?usp=sharing"",""ลพบุรี!L190"")+IMPORTRANGE(""https://docs.google.com/spreadsheets/d/10oOiF7loTyfsTkbd4MpaIm0HQ9SwB7IYHdIUvt-U1Uc/edit?usp=sharing"""&amp;",""สระแก้ว!L190"")+IMPORTRANGE(""https://docs.google.com/spreadsheets/d/1xmPlrr1QbdSIKvl1dWUl9K4PjAfSL9oeMr_37QVzcxc/edit?usp=sharing"",""สระบุรี!L190"")+IMPORTRANGE(""https://docs.google.com/spreadsheets/d/1j51vR6CYVGhABJpv6tkstgok82RLpXieLzW1yOY5rHw/edi"&amp;"t?usp=sharing"",""สิงห์บุรี!L190"")+IMPORTRANGE(""https://docs.google.com/spreadsheets/d/1H1EalTWKUSzO4Z1-1CwzoDUaVffgrThEBe2sl74kKG0/edit?usp=sharing"",""สุพรรณบุรี!L190"")+IMPORTRANGE(""https://docs.google.com/spreadsheets/d/1BmIruG_sIrJLYao_Pdr7zVArWsf"&amp;"oBt2692TMi6x_854/edit?usp=sharing"",""อ่างทอง!L190"")"),0)</f>
        <v>0</v>
      </c>
      <c r="M190" s="59">
        <f ca="1">IFERROR(__xludf.DUMMYFUNCTION("IMPORTRANGE(""https://docs.google.com/spreadsheets/d/13wPX838HrBrQMCywv1BsuMkt4PEKTChp52zj44s2izQ/edit?usp=sharing"",""กาญจนบุรี!M190"")+IMPORTRANGE(""https://docs.google.com/spreadsheets/d/1ddFKvqj1W1NEiWytbGlB1zMx_ykJDVtmfEQ-6-lIUBA/edit?usp=sharing"","&amp;"""จันทบุรี!M190"")+IMPORTRANGE(""https://docs.google.com/spreadsheets/d/1T1PQvRODqOBZk8BRht_U031fIS1beLA0Ub2CEytj2q0/edit?usp=sharing"",""ฉะเชิงเทรา!M190"")+IMPORTRANGE(""https://docs.google.com/spreadsheets/d/11tr1B-Bhyr79v2bkwVh5h_fR-PStkgjlZtkrZpYurG0/"&amp;"edit?usp=sharing"",""ชลบุรี!M190"")+IMPORTRANGE(""https://docs.google.com/spreadsheets/d/1hh-FVnSX0vozXhGluamEcS54Dw9_zqW0N7qJUWgJ0Sw/edit?usp=sharing"",""ชัยนาท!M190"")+IMPORTRANGE(""https://docs.google.com/spreadsheets/d/1jkqa6GXxSacMcY1eN8AHjMNJ_7dDXMJ"&amp;"VRLDlaFSOdPM/edit?usp=sharing"",""ตราด!M190"")+IMPORTRANGE(""https://docs.google.com/spreadsheets/d/18hSgUJ3VwClqi_qtULmmW3cLr0oe3OKaSYoKzdpTsYQ/edit?usp=sharing"",""นครนายก!M190"")+IMPORTRANGE(""https://docs.google.com/spreadsheets/d/1YTZo6WM2dQ6Ix6FSdnL"&amp;"5P7uVnVKu40sxZu975tgG10E/edit?usp=sharing"",""นครปฐม!M190"")+IMPORTRANGE(""https://docs.google.com/spreadsheets/d/1OYoGg4WDg5RIzwGeB10padOxJF9E_Vljuvvct_M7RDo/edit?usp=sharing"",""ปทุมธานี!M190"")+IMPORTRANGE(""https://docs.google.com/spreadsheets/d/1GbCI"&amp;"E4D4wk9FUozzqk7SxfDMxDVBwVmI5zcaVUSzKAc/edit?usp=sharing"",""ประจวบคีรีขันธ์!M190"")+IMPORTRANGE(""https://docs.google.com/spreadsheets/d/1vVf6wykvW_lAyu7Yo9L4hUTqHqIeP_qcVuxCtosJEbg/edit?usp=sharing"",""ปราจีนบุรี!M190"")+IMPORTRANGE(""https://docs.googl"&amp;"e.com/spreadsheets/d/1BIDqLLg5jk3v59G8NlR8rk5xfQDKne0sAvZHSj7TI6I/edit?usp=sharing"",""พระนครศรีอยุธยา!M190"")+IMPORTRANGE(""https://docs.google.com/spreadsheets/d/1YXvxf8Yu6_rV4hTBrwMqAcAnv6DfhUxh5emyM3CJp_w/edit?usp=sharing"",""เพชรบุรี!M190"")+IMPORTRA"&amp;"NGE(""https://docs.google.com/spreadsheets/d/19KBlQQs7uwvsao6t2n-KvW3Ax8J8uRRfZPq1zPbXgKc/edit?usp=sharing"",""ระยอง!M190"")+IMPORTRANGE(""https://docs.google.com/spreadsheets/d/1jQ6P4QcrGM89YfqcC_PxOHGCMq5ezhucwJd8ci-NHng/edit?usp=sharing"",""ราชบุรี!M19"&amp;"0"")+IMPORTRANGE(""https://docs.google.com/spreadsheets/d/1lufeA2cfFqM-elVq2hznhDzC6Pr7wkJ9ZG_sYNGCMCU/edit?usp=sharing"",""ลพบุรี!M190"")+IMPORTRANGE(""https://docs.google.com/spreadsheets/d/10oOiF7loTyfsTkbd4MpaIm0HQ9SwB7IYHdIUvt-U1Uc/edit?usp=sharing"""&amp;",""สระแก้ว!M190"")+IMPORTRANGE(""https://docs.google.com/spreadsheets/d/1xmPlrr1QbdSIKvl1dWUl9K4PjAfSL9oeMr_37QVzcxc/edit?usp=sharing"",""สระบุรี!M190"")+IMPORTRANGE(""https://docs.google.com/spreadsheets/d/1j51vR6CYVGhABJpv6tkstgok82RLpXieLzW1yOY5rHw/edi"&amp;"t?usp=sharing"",""สิงห์บุรี!M190"")+IMPORTRANGE(""https://docs.google.com/spreadsheets/d/1H1EalTWKUSzO4Z1-1CwzoDUaVffgrThEBe2sl74kKG0/edit?usp=sharing"",""สุพรรณบุรี!M190"")+IMPORTRANGE(""https://docs.google.com/spreadsheets/d/1BmIruG_sIrJLYao_Pdr7zVArWsf"&amp;"oBt2692TMi6x_854/edit?usp=sharing"",""อ่างทอง!M190"")"),0)</f>
        <v>0</v>
      </c>
      <c r="N190" s="59">
        <f ca="1">IFERROR(__xludf.DUMMYFUNCTION("IMPORTRANGE(""https://docs.google.com/spreadsheets/d/13wPX838HrBrQMCywv1BsuMkt4PEKTChp52zj44s2izQ/edit?usp=sharing"",""กาญจนบุรี!N190"")+IMPORTRANGE(""https://docs.google.com/spreadsheets/d/1ddFKvqj1W1NEiWytbGlB1zMx_ykJDVtmfEQ-6-lIUBA/edit?usp=sharing"","&amp;"""จันทบุรี!N190"")+IMPORTRANGE(""https://docs.google.com/spreadsheets/d/1T1PQvRODqOBZk8BRht_U031fIS1beLA0Ub2CEytj2q0/edit?usp=sharing"",""ฉะเชิงเทรา!N190"")+IMPORTRANGE(""https://docs.google.com/spreadsheets/d/11tr1B-Bhyr79v2bkwVh5h_fR-PStkgjlZtkrZpYurG0/"&amp;"edit?usp=sharing"",""ชลบุรี!N190"")+IMPORTRANGE(""https://docs.google.com/spreadsheets/d/1hh-FVnSX0vozXhGluamEcS54Dw9_zqW0N7qJUWgJ0Sw/edit?usp=sharing"",""ชัยนาท!N190"")+IMPORTRANGE(""https://docs.google.com/spreadsheets/d/1jkqa6GXxSacMcY1eN8AHjMNJ_7dDXMJ"&amp;"VRLDlaFSOdPM/edit?usp=sharing"",""ตราด!N190"")+IMPORTRANGE(""https://docs.google.com/spreadsheets/d/18hSgUJ3VwClqi_qtULmmW3cLr0oe3OKaSYoKzdpTsYQ/edit?usp=sharing"",""นครนายก!N190"")+IMPORTRANGE(""https://docs.google.com/spreadsheets/d/1YTZo6WM2dQ6Ix6FSdnL"&amp;"5P7uVnVKu40sxZu975tgG10E/edit?usp=sharing"",""นครปฐม!N190"")+IMPORTRANGE(""https://docs.google.com/spreadsheets/d/1OYoGg4WDg5RIzwGeB10padOxJF9E_Vljuvvct_M7RDo/edit?usp=sharing"",""ปทุมธานี!N190"")+IMPORTRANGE(""https://docs.google.com/spreadsheets/d/1GbCI"&amp;"E4D4wk9FUozzqk7SxfDMxDVBwVmI5zcaVUSzKAc/edit?usp=sharing"",""ประจวบคีรีขันธ์!N190"")+IMPORTRANGE(""https://docs.google.com/spreadsheets/d/1vVf6wykvW_lAyu7Yo9L4hUTqHqIeP_qcVuxCtosJEbg/edit?usp=sharing"",""ปราจีนบุรี!N190"")+IMPORTRANGE(""https://docs.googl"&amp;"e.com/spreadsheets/d/1BIDqLLg5jk3v59G8NlR8rk5xfQDKne0sAvZHSj7TI6I/edit?usp=sharing"",""พระนครศรีอยุธยา!N190"")+IMPORTRANGE(""https://docs.google.com/spreadsheets/d/1YXvxf8Yu6_rV4hTBrwMqAcAnv6DfhUxh5emyM3CJp_w/edit?usp=sharing"",""เพชรบุรี!N190"")+IMPORTRA"&amp;"NGE(""https://docs.google.com/spreadsheets/d/19KBlQQs7uwvsao6t2n-KvW3Ax8J8uRRfZPq1zPbXgKc/edit?usp=sharing"",""ระยอง!N190"")+IMPORTRANGE(""https://docs.google.com/spreadsheets/d/1jQ6P4QcrGM89YfqcC_PxOHGCMq5ezhucwJd8ci-NHng/edit?usp=sharing"",""ราชบุรี!N19"&amp;"0"")+IMPORTRANGE(""https://docs.google.com/spreadsheets/d/1lufeA2cfFqM-elVq2hznhDzC6Pr7wkJ9ZG_sYNGCMCU/edit?usp=sharing"",""ลพบุรี!N190"")+IMPORTRANGE(""https://docs.google.com/spreadsheets/d/10oOiF7loTyfsTkbd4MpaIm0HQ9SwB7IYHdIUvt-U1Uc/edit?usp=sharing"""&amp;",""สระแก้ว!N190"")+IMPORTRANGE(""https://docs.google.com/spreadsheets/d/1xmPlrr1QbdSIKvl1dWUl9K4PjAfSL9oeMr_37QVzcxc/edit?usp=sharing"",""สระบุรี!N190"")+IMPORTRANGE(""https://docs.google.com/spreadsheets/d/1j51vR6CYVGhABJpv6tkstgok82RLpXieLzW1yOY5rHw/edi"&amp;"t?usp=sharing"",""สิงห์บุรี!N190"")+IMPORTRANGE(""https://docs.google.com/spreadsheets/d/1H1EalTWKUSzO4Z1-1CwzoDUaVffgrThEBe2sl74kKG0/edit?usp=sharing"",""สุพรรณบุรี!N190"")+IMPORTRANGE(""https://docs.google.com/spreadsheets/d/1BmIruG_sIrJLYao_Pdr7zVArWsf"&amp;"oBt2692TMi6x_854/edit?usp=sharing"",""อ่างทอง!N190"")"),0)</f>
        <v>0</v>
      </c>
      <c r="O190" s="59">
        <f t="shared" ca="1" si="93"/>
        <v>0</v>
      </c>
      <c r="P190" s="59">
        <f t="shared" ca="1" si="94"/>
        <v>0</v>
      </c>
    </row>
    <row r="191" spans="1:16" ht="18.75" x14ac:dyDescent="0.25">
      <c r="A191" s="157"/>
      <c r="B191" s="53"/>
      <c r="C191" s="53"/>
      <c r="D191" s="53"/>
      <c r="E191" s="60" t="s">
        <v>35</v>
      </c>
      <c r="F191" s="53"/>
      <c r="G191" s="55"/>
      <c r="H191" s="163" t="s">
        <v>12</v>
      </c>
      <c r="I191" s="164"/>
      <c r="J191" s="164"/>
      <c r="K191" s="165"/>
      <c r="L191" s="59">
        <f ca="1">IFERROR(__xludf.DUMMYFUNCTION("IMPORTRANGE(""https://docs.google.com/spreadsheets/d/13wPX838HrBrQMCywv1BsuMkt4PEKTChp52zj44s2izQ/edit?usp=sharing"",""กาญจนบุรี!L191"")+IMPORTRANGE(""https://docs.google.com/spreadsheets/d/1ddFKvqj1W1NEiWytbGlB1zMx_ykJDVtmfEQ-6-lIUBA/edit?usp=sharing"","&amp;"""จันทบุรี!L191"")+IMPORTRANGE(""https://docs.google.com/spreadsheets/d/1T1PQvRODqOBZk8BRht_U031fIS1beLA0Ub2CEytj2q0/edit?usp=sharing"",""ฉะเชิงเทรา!L191"")+IMPORTRANGE(""https://docs.google.com/spreadsheets/d/11tr1B-Bhyr79v2bkwVh5h_fR-PStkgjlZtkrZpYurG0/"&amp;"edit?usp=sharing"",""ชลบุรี!L191"")+IMPORTRANGE(""https://docs.google.com/spreadsheets/d/1hh-FVnSX0vozXhGluamEcS54Dw9_zqW0N7qJUWgJ0Sw/edit?usp=sharing"",""ชัยนาท!L191"")+IMPORTRANGE(""https://docs.google.com/spreadsheets/d/1jkqa6GXxSacMcY1eN8AHjMNJ_7dDXMJ"&amp;"VRLDlaFSOdPM/edit?usp=sharing"",""ตราด!L191"")+IMPORTRANGE(""https://docs.google.com/spreadsheets/d/18hSgUJ3VwClqi_qtULmmW3cLr0oe3OKaSYoKzdpTsYQ/edit?usp=sharing"",""นครนายก!L191"")+IMPORTRANGE(""https://docs.google.com/spreadsheets/d/1YTZo6WM2dQ6Ix6FSdnL"&amp;"5P7uVnVKu40sxZu975tgG10E/edit?usp=sharing"",""นครปฐม!L191"")+IMPORTRANGE(""https://docs.google.com/spreadsheets/d/1OYoGg4WDg5RIzwGeB10padOxJF9E_Vljuvvct_M7RDo/edit?usp=sharing"",""ปทุมธานี!L191"")+IMPORTRANGE(""https://docs.google.com/spreadsheets/d/1GbCI"&amp;"E4D4wk9FUozzqk7SxfDMxDVBwVmI5zcaVUSzKAc/edit?usp=sharing"",""ประจวบคีรีขันธ์!L191"")+IMPORTRANGE(""https://docs.google.com/spreadsheets/d/1vVf6wykvW_lAyu7Yo9L4hUTqHqIeP_qcVuxCtosJEbg/edit?usp=sharing"",""ปราจีนบุรี!L191"")+IMPORTRANGE(""https://docs.googl"&amp;"e.com/spreadsheets/d/1BIDqLLg5jk3v59G8NlR8rk5xfQDKne0sAvZHSj7TI6I/edit?usp=sharing"",""พระนครศรีอยุธยา!L191"")+IMPORTRANGE(""https://docs.google.com/spreadsheets/d/1YXvxf8Yu6_rV4hTBrwMqAcAnv6DfhUxh5emyM3CJp_w/edit?usp=sharing"",""เพชรบุรี!L191"")+IMPORTRA"&amp;"NGE(""https://docs.google.com/spreadsheets/d/19KBlQQs7uwvsao6t2n-KvW3Ax8J8uRRfZPq1zPbXgKc/edit?usp=sharing"",""ระยอง!L191"")+IMPORTRANGE(""https://docs.google.com/spreadsheets/d/1jQ6P4QcrGM89YfqcC_PxOHGCMq5ezhucwJd8ci-NHng/edit?usp=sharing"",""ราชบุรี!L19"&amp;"1"")+IMPORTRANGE(""https://docs.google.com/spreadsheets/d/1lufeA2cfFqM-elVq2hznhDzC6Pr7wkJ9ZG_sYNGCMCU/edit?usp=sharing"",""ลพบุรี!L191"")+IMPORTRANGE(""https://docs.google.com/spreadsheets/d/10oOiF7loTyfsTkbd4MpaIm0HQ9SwB7IYHdIUvt-U1Uc/edit?usp=sharing"""&amp;",""สระแก้ว!L191"")+IMPORTRANGE(""https://docs.google.com/spreadsheets/d/1xmPlrr1QbdSIKvl1dWUl9K4PjAfSL9oeMr_37QVzcxc/edit?usp=sharing"",""สระบุรี!L191"")+IMPORTRANGE(""https://docs.google.com/spreadsheets/d/1j51vR6CYVGhABJpv6tkstgok82RLpXieLzW1yOY5rHw/edi"&amp;"t?usp=sharing"",""สิงห์บุรี!L191"")+IMPORTRANGE(""https://docs.google.com/spreadsheets/d/1H1EalTWKUSzO4Z1-1CwzoDUaVffgrThEBe2sl74kKG0/edit?usp=sharing"",""สุพรรณบุรี!L191"")+IMPORTRANGE(""https://docs.google.com/spreadsheets/d/1BmIruG_sIrJLYao_Pdr7zVArWsf"&amp;"oBt2692TMi6x_854/edit?usp=sharing"",""อ่างทอง!L191"")"),3396000)</f>
        <v>3396000</v>
      </c>
      <c r="M191" s="59">
        <f ca="1">IFERROR(__xludf.DUMMYFUNCTION("IMPORTRANGE(""https://docs.google.com/spreadsheets/d/13wPX838HrBrQMCywv1BsuMkt4PEKTChp52zj44s2izQ/edit?usp=sharing"",""กาญจนบุรี!M191"")+IMPORTRANGE(""https://docs.google.com/spreadsheets/d/1ddFKvqj1W1NEiWytbGlB1zMx_ykJDVtmfEQ-6-lIUBA/edit?usp=sharing"","&amp;"""จันทบุรี!M191"")+IMPORTRANGE(""https://docs.google.com/spreadsheets/d/1T1PQvRODqOBZk8BRht_U031fIS1beLA0Ub2CEytj2q0/edit?usp=sharing"",""ฉะเชิงเทรา!M191"")+IMPORTRANGE(""https://docs.google.com/spreadsheets/d/11tr1B-Bhyr79v2bkwVh5h_fR-PStkgjlZtkrZpYurG0/"&amp;"edit?usp=sharing"",""ชลบุรี!M191"")+IMPORTRANGE(""https://docs.google.com/spreadsheets/d/1hh-FVnSX0vozXhGluamEcS54Dw9_zqW0N7qJUWgJ0Sw/edit?usp=sharing"",""ชัยนาท!M191"")+IMPORTRANGE(""https://docs.google.com/spreadsheets/d/1jkqa6GXxSacMcY1eN8AHjMNJ_7dDXMJ"&amp;"VRLDlaFSOdPM/edit?usp=sharing"",""ตราด!M191"")+IMPORTRANGE(""https://docs.google.com/spreadsheets/d/18hSgUJ3VwClqi_qtULmmW3cLr0oe3OKaSYoKzdpTsYQ/edit?usp=sharing"",""นครนายก!M191"")+IMPORTRANGE(""https://docs.google.com/spreadsheets/d/1YTZo6WM2dQ6Ix6FSdnL"&amp;"5P7uVnVKu40sxZu975tgG10E/edit?usp=sharing"",""นครปฐม!M191"")+IMPORTRANGE(""https://docs.google.com/spreadsheets/d/1OYoGg4WDg5RIzwGeB10padOxJF9E_Vljuvvct_M7RDo/edit?usp=sharing"",""ปทุมธานี!M191"")+IMPORTRANGE(""https://docs.google.com/spreadsheets/d/1GbCI"&amp;"E4D4wk9FUozzqk7SxfDMxDVBwVmI5zcaVUSzKAc/edit?usp=sharing"",""ประจวบคีรีขันธ์!M191"")+IMPORTRANGE(""https://docs.google.com/spreadsheets/d/1vVf6wykvW_lAyu7Yo9L4hUTqHqIeP_qcVuxCtosJEbg/edit?usp=sharing"",""ปราจีนบุรี!M191"")+IMPORTRANGE(""https://docs.googl"&amp;"e.com/spreadsheets/d/1BIDqLLg5jk3v59G8NlR8rk5xfQDKne0sAvZHSj7TI6I/edit?usp=sharing"",""พระนครศรีอยุธยา!M191"")+IMPORTRANGE(""https://docs.google.com/spreadsheets/d/1YXvxf8Yu6_rV4hTBrwMqAcAnv6DfhUxh5emyM3CJp_w/edit?usp=sharing"",""เพชรบุรี!M191"")+IMPORTRA"&amp;"NGE(""https://docs.google.com/spreadsheets/d/19KBlQQs7uwvsao6t2n-KvW3Ax8J8uRRfZPq1zPbXgKc/edit?usp=sharing"",""ระยอง!M191"")+IMPORTRANGE(""https://docs.google.com/spreadsheets/d/1jQ6P4QcrGM89YfqcC_PxOHGCMq5ezhucwJd8ci-NHng/edit?usp=sharing"",""ราชบุรี!M19"&amp;"1"")+IMPORTRANGE(""https://docs.google.com/spreadsheets/d/1lufeA2cfFqM-elVq2hznhDzC6Pr7wkJ9ZG_sYNGCMCU/edit?usp=sharing"",""ลพบุรี!M191"")+IMPORTRANGE(""https://docs.google.com/spreadsheets/d/10oOiF7loTyfsTkbd4MpaIm0HQ9SwB7IYHdIUvt-U1Uc/edit?usp=sharing"""&amp;",""สระแก้ว!M191"")+IMPORTRANGE(""https://docs.google.com/spreadsheets/d/1xmPlrr1QbdSIKvl1dWUl9K4PjAfSL9oeMr_37QVzcxc/edit?usp=sharing"",""สระบุรี!M191"")+IMPORTRANGE(""https://docs.google.com/spreadsheets/d/1j51vR6CYVGhABJpv6tkstgok82RLpXieLzW1yOY5rHw/edi"&amp;"t?usp=sharing"",""สิงห์บุรี!M191"")+IMPORTRANGE(""https://docs.google.com/spreadsheets/d/1H1EalTWKUSzO4Z1-1CwzoDUaVffgrThEBe2sl74kKG0/edit?usp=sharing"",""สุพรรณบุรี!M191"")+IMPORTRANGE(""https://docs.google.com/spreadsheets/d/1BmIruG_sIrJLYao_Pdr7zVArWsf"&amp;"oBt2692TMi6x_854/edit?usp=sharing"",""อ่างทอง!M191"")"),2724225)</f>
        <v>2724225</v>
      </c>
      <c r="N191" s="59">
        <f ca="1">IFERROR(__xludf.DUMMYFUNCTION("IMPORTRANGE(""https://docs.google.com/spreadsheets/d/13wPX838HrBrQMCywv1BsuMkt4PEKTChp52zj44s2izQ/edit?usp=sharing"",""กาญจนบุรี!N191"")+IMPORTRANGE(""https://docs.google.com/spreadsheets/d/1ddFKvqj1W1NEiWytbGlB1zMx_ykJDVtmfEQ-6-lIUBA/edit?usp=sharing"","&amp;"""จันทบุรี!N191"")+IMPORTRANGE(""https://docs.google.com/spreadsheets/d/1T1PQvRODqOBZk8BRht_U031fIS1beLA0Ub2CEytj2q0/edit?usp=sharing"",""ฉะเชิงเทรา!N191"")+IMPORTRANGE(""https://docs.google.com/spreadsheets/d/11tr1B-Bhyr79v2bkwVh5h_fR-PStkgjlZtkrZpYurG0/"&amp;"edit?usp=sharing"",""ชลบุรี!N191"")+IMPORTRANGE(""https://docs.google.com/spreadsheets/d/1hh-FVnSX0vozXhGluamEcS54Dw9_zqW0N7qJUWgJ0Sw/edit?usp=sharing"",""ชัยนาท!N191"")+IMPORTRANGE(""https://docs.google.com/spreadsheets/d/1jkqa6GXxSacMcY1eN8AHjMNJ_7dDXMJ"&amp;"VRLDlaFSOdPM/edit?usp=sharing"",""ตราด!N191"")+IMPORTRANGE(""https://docs.google.com/spreadsheets/d/18hSgUJ3VwClqi_qtULmmW3cLr0oe3OKaSYoKzdpTsYQ/edit?usp=sharing"",""นครนายก!N191"")+IMPORTRANGE(""https://docs.google.com/spreadsheets/d/1YTZo6WM2dQ6Ix6FSdnL"&amp;"5P7uVnVKu40sxZu975tgG10E/edit?usp=sharing"",""นครปฐม!N191"")+IMPORTRANGE(""https://docs.google.com/spreadsheets/d/1OYoGg4WDg5RIzwGeB10padOxJF9E_Vljuvvct_M7RDo/edit?usp=sharing"",""ปทุมธานี!N191"")+IMPORTRANGE(""https://docs.google.com/spreadsheets/d/1GbCI"&amp;"E4D4wk9FUozzqk7SxfDMxDVBwVmI5zcaVUSzKAc/edit?usp=sharing"",""ประจวบคีรีขันธ์!N191"")+IMPORTRANGE(""https://docs.google.com/spreadsheets/d/1vVf6wykvW_lAyu7Yo9L4hUTqHqIeP_qcVuxCtosJEbg/edit?usp=sharing"",""ปราจีนบุรี!N191"")+IMPORTRANGE(""https://docs.googl"&amp;"e.com/spreadsheets/d/1BIDqLLg5jk3v59G8NlR8rk5xfQDKne0sAvZHSj7TI6I/edit?usp=sharing"",""พระนครศรีอยุธยา!N191"")+IMPORTRANGE(""https://docs.google.com/spreadsheets/d/1YXvxf8Yu6_rV4hTBrwMqAcAnv6DfhUxh5emyM3CJp_w/edit?usp=sharing"",""เพชรบุรี!N191"")+IMPORTRA"&amp;"NGE(""https://docs.google.com/spreadsheets/d/19KBlQQs7uwvsao6t2n-KvW3Ax8J8uRRfZPq1zPbXgKc/edit?usp=sharing"",""ระยอง!N191"")+IMPORTRANGE(""https://docs.google.com/spreadsheets/d/1jQ6P4QcrGM89YfqcC_PxOHGCMq5ezhucwJd8ci-NHng/edit?usp=sharing"",""ราชบุรี!N19"&amp;"1"")+IMPORTRANGE(""https://docs.google.com/spreadsheets/d/1lufeA2cfFqM-elVq2hznhDzC6Pr7wkJ9ZG_sYNGCMCU/edit?usp=sharing"",""ลพบุรี!N191"")+IMPORTRANGE(""https://docs.google.com/spreadsheets/d/10oOiF7loTyfsTkbd4MpaIm0HQ9SwB7IYHdIUvt-U1Uc/edit?usp=sharing"""&amp;",""สระแก้ว!N191"")+IMPORTRANGE(""https://docs.google.com/spreadsheets/d/1xmPlrr1QbdSIKvl1dWUl9K4PjAfSL9oeMr_37QVzcxc/edit?usp=sharing"",""สระบุรี!N191"")+IMPORTRANGE(""https://docs.google.com/spreadsheets/d/1j51vR6CYVGhABJpv6tkstgok82RLpXieLzW1yOY5rHw/edi"&amp;"t?usp=sharing"",""สิงห์บุรี!N191"")+IMPORTRANGE(""https://docs.google.com/spreadsheets/d/1H1EalTWKUSzO4Z1-1CwzoDUaVffgrThEBe2sl74kKG0/edit?usp=sharing"",""สุพรรณบุรี!N191"")+IMPORTRANGE(""https://docs.google.com/spreadsheets/d/1BmIruG_sIrJLYao_Pdr7zVArWsf"&amp;"oBt2692TMi6x_854/edit?usp=sharing"",""อ่างทอง!N191"")"),809619.79)</f>
        <v>809619.79</v>
      </c>
      <c r="O191" s="59">
        <f t="shared" ca="1" si="93"/>
        <v>23.840394287396936</v>
      </c>
      <c r="P191" s="59">
        <f t="shared" ca="1" si="94"/>
        <v>29.71927025117235</v>
      </c>
    </row>
    <row r="192" spans="1:16" ht="18.75" x14ac:dyDescent="0.25">
      <c r="A192" s="157"/>
      <c r="B192" s="53"/>
      <c r="C192" s="53"/>
      <c r="D192" s="54" t="s">
        <v>21</v>
      </c>
      <c r="E192" s="53"/>
      <c r="F192" s="53"/>
      <c r="G192" s="55"/>
      <c r="H192" s="166" t="s">
        <v>12</v>
      </c>
      <c r="I192" s="164"/>
      <c r="J192" s="164"/>
      <c r="K192" s="165"/>
      <c r="L192" s="59">
        <f t="shared" ref="L192:N192" ca="1" si="98">L193+L194</f>
        <v>0</v>
      </c>
      <c r="M192" s="59">
        <f t="shared" ca="1" si="98"/>
        <v>0</v>
      </c>
      <c r="N192" s="59">
        <f t="shared" ca="1" si="98"/>
        <v>0</v>
      </c>
      <c r="O192" s="59">
        <f t="shared" ca="1" si="93"/>
        <v>0</v>
      </c>
      <c r="P192" s="59">
        <f t="shared" ca="1" si="94"/>
        <v>0</v>
      </c>
    </row>
    <row r="193" spans="1:16" ht="18.75" x14ac:dyDescent="0.25">
      <c r="A193" s="157"/>
      <c r="B193" s="53"/>
      <c r="C193" s="53"/>
      <c r="D193" s="53"/>
      <c r="E193" s="60" t="s">
        <v>18</v>
      </c>
      <c r="F193" s="53"/>
      <c r="G193" s="55"/>
      <c r="H193" s="163" t="s">
        <v>12</v>
      </c>
      <c r="I193" s="164"/>
      <c r="J193" s="164"/>
      <c r="K193" s="165"/>
      <c r="L193" s="59">
        <f ca="1">IFERROR(__xludf.DUMMYFUNCTION("IMPORTRANGE(""https://docs.google.com/spreadsheets/d/13wPX838HrBrQMCywv1BsuMkt4PEKTChp52zj44s2izQ/edit?usp=sharing"",""กาญจนบุรี!L193"")+IMPORTRANGE(""https://docs.google.com/spreadsheets/d/1ddFKvqj1W1NEiWytbGlB1zMx_ykJDVtmfEQ-6-lIUBA/edit?usp=sharing"","&amp;"""จันทบุรี!L193"")+IMPORTRANGE(""https://docs.google.com/spreadsheets/d/1T1PQvRODqOBZk8BRht_U031fIS1beLA0Ub2CEytj2q0/edit?usp=sharing"",""ฉะเชิงเทรา!L193"")+IMPORTRANGE(""https://docs.google.com/spreadsheets/d/11tr1B-Bhyr79v2bkwVh5h_fR-PStkgjlZtkrZpYurG0/"&amp;"edit?usp=sharing"",""ชลบุรี!L193"")+IMPORTRANGE(""https://docs.google.com/spreadsheets/d/1hh-FVnSX0vozXhGluamEcS54Dw9_zqW0N7qJUWgJ0Sw/edit?usp=sharing"",""ชัยนาท!L193"")+IMPORTRANGE(""https://docs.google.com/spreadsheets/d/1jkqa6GXxSacMcY1eN8AHjMNJ_7dDXMJ"&amp;"VRLDlaFSOdPM/edit?usp=sharing"",""ตราด!L193"")+IMPORTRANGE(""https://docs.google.com/spreadsheets/d/18hSgUJ3VwClqi_qtULmmW3cLr0oe3OKaSYoKzdpTsYQ/edit?usp=sharing"",""นครนายก!L193"")+IMPORTRANGE(""https://docs.google.com/spreadsheets/d/1YTZo6WM2dQ6Ix6FSdnL"&amp;"5P7uVnVKu40sxZu975tgG10E/edit?usp=sharing"",""นครปฐม!L193"")+IMPORTRANGE(""https://docs.google.com/spreadsheets/d/1OYoGg4WDg5RIzwGeB10padOxJF9E_Vljuvvct_M7RDo/edit?usp=sharing"",""ปทุมธานี!L193"")+IMPORTRANGE(""https://docs.google.com/spreadsheets/d/1GbCI"&amp;"E4D4wk9FUozzqk7SxfDMxDVBwVmI5zcaVUSzKAc/edit?usp=sharing"",""ประจวบคีรีขันธ์!L193"")+IMPORTRANGE(""https://docs.google.com/spreadsheets/d/1vVf6wykvW_lAyu7Yo9L4hUTqHqIeP_qcVuxCtosJEbg/edit?usp=sharing"",""ปราจีนบุรี!L193"")+IMPORTRANGE(""https://docs.googl"&amp;"e.com/spreadsheets/d/1BIDqLLg5jk3v59G8NlR8rk5xfQDKne0sAvZHSj7TI6I/edit?usp=sharing"",""พระนครศรีอยุธยา!L193"")+IMPORTRANGE(""https://docs.google.com/spreadsheets/d/1YXvxf8Yu6_rV4hTBrwMqAcAnv6DfhUxh5emyM3CJp_w/edit?usp=sharing"",""เพชรบุรี!L193"")+IMPORTRA"&amp;"NGE(""https://docs.google.com/spreadsheets/d/19KBlQQs7uwvsao6t2n-KvW3Ax8J8uRRfZPq1zPbXgKc/edit?usp=sharing"",""ระยอง!L193"")+IMPORTRANGE(""https://docs.google.com/spreadsheets/d/1jQ6P4QcrGM89YfqcC_PxOHGCMq5ezhucwJd8ci-NHng/edit?usp=sharing"",""ราชบุรี!L19"&amp;"3"")+IMPORTRANGE(""https://docs.google.com/spreadsheets/d/1lufeA2cfFqM-elVq2hznhDzC6Pr7wkJ9ZG_sYNGCMCU/edit?usp=sharing"",""ลพบุรี!L193"")+IMPORTRANGE(""https://docs.google.com/spreadsheets/d/10oOiF7loTyfsTkbd4MpaIm0HQ9SwB7IYHdIUvt-U1Uc/edit?usp=sharing"""&amp;",""สระแก้ว!L193"")+IMPORTRANGE(""https://docs.google.com/spreadsheets/d/1xmPlrr1QbdSIKvl1dWUl9K4PjAfSL9oeMr_37QVzcxc/edit?usp=sharing"",""สระบุรี!L193"")+IMPORTRANGE(""https://docs.google.com/spreadsheets/d/1j51vR6CYVGhABJpv6tkstgok82RLpXieLzW1yOY5rHw/edi"&amp;"t?usp=sharing"",""สิงห์บุรี!L193"")+IMPORTRANGE(""https://docs.google.com/spreadsheets/d/1H1EalTWKUSzO4Z1-1CwzoDUaVffgrThEBe2sl74kKG0/edit?usp=sharing"",""สุพรรณบุรี!L193"")+IMPORTRANGE(""https://docs.google.com/spreadsheets/d/1BmIruG_sIrJLYao_Pdr7zVArWsf"&amp;"oBt2692TMi6x_854/edit?usp=sharing"",""อ่างทอง!L193"")"),0)</f>
        <v>0</v>
      </c>
      <c r="M193" s="59">
        <f ca="1">IFERROR(__xludf.DUMMYFUNCTION("IMPORTRANGE(""https://docs.google.com/spreadsheets/d/13wPX838HrBrQMCywv1BsuMkt4PEKTChp52zj44s2izQ/edit?usp=sharing"",""กาญจนบุรี!M193"")+IMPORTRANGE(""https://docs.google.com/spreadsheets/d/1ddFKvqj1W1NEiWytbGlB1zMx_ykJDVtmfEQ-6-lIUBA/edit?usp=sharing"","&amp;"""จันทบุรี!M193"")+IMPORTRANGE(""https://docs.google.com/spreadsheets/d/1T1PQvRODqOBZk8BRht_U031fIS1beLA0Ub2CEytj2q0/edit?usp=sharing"",""ฉะเชิงเทรา!M193"")+IMPORTRANGE(""https://docs.google.com/spreadsheets/d/11tr1B-Bhyr79v2bkwVh5h_fR-PStkgjlZtkrZpYurG0/"&amp;"edit?usp=sharing"",""ชลบุรี!M193"")+IMPORTRANGE(""https://docs.google.com/spreadsheets/d/1hh-FVnSX0vozXhGluamEcS54Dw9_zqW0N7qJUWgJ0Sw/edit?usp=sharing"",""ชัยนาท!M193"")+IMPORTRANGE(""https://docs.google.com/spreadsheets/d/1jkqa6GXxSacMcY1eN8AHjMNJ_7dDXMJ"&amp;"VRLDlaFSOdPM/edit?usp=sharing"",""ตราด!M193"")+IMPORTRANGE(""https://docs.google.com/spreadsheets/d/18hSgUJ3VwClqi_qtULmmW3cLr0oe3OKaSYoKzdpTsYQ/edit?usp=sharing"",""นครนายก!M193"")+IMPORTRANGE(""https://docs.google.com/spreadsheets/d/1YTZo6WM2dQ6Ix6FSdnL"&amp;"5P7uVnVKu40sxZu975tgG10E/edit?usp=sharing"",""นครปฐม!M193"")+IMPORTRANGE(""https://docs.google.com/spreadsheets/d/1OYoGg4WDg5RIzwGeB10padOxJF9E_Vljuvvct_M7RDo/edit?usp=sharing"",""ปทุมธานี!M193"")+IMPORTRANGE(""https://docs.google.com/spreadsheets/d/1GbCI"&amp;"E4D4wk9FUozzqk7SxfDMxDVBwVmI5zcaVUSzKAc/edit?usp=sharing"",""ประจวบคีรีขันธ์!M193"")+IMPORTRANGE(""https://docs.google.com/spreadsheets/d/1vVf6wykvW_lAyu7Yo9L4hUTqHqIeP_qcVuxCtosJEbg/edit?usp=sharing"",""ปราจีนบุรี!M193"")+IMPORTRANGE(""https://docs.googl"&amp;"e.com/spreadsheets/d/1BIDqLLg5jk3v59G8NlR8rk5xfQDKne0sAvZHSj7TI6I/edit?usp=sharing"",""พระนครศรีอยุธยา!M193"")+IMPORTRANGE(""https://docs.google.com/spreadsheets/d/1YXvxf8Yu6_rV4hTBrwMqAcAnv6DfhUxh5emyM3CJp_w/edit?usp=sharing"",""เพชรบุรี!M193"")+IMPORTRA"&amp;"NGE(""https://docs.google.com/spreadsheets/d/19KBlQQs7uwvsao6t2n-KvW3Ax8J8uRRfZPq1zPbXgKc/edit?usp=sharing"",""ระยอง!M193"")+IMPORTRANGE(""https://docs.google.com/spreadsheets/d/1jQ6P4QcrGM89YfqcC_PxOHGCMq5ezhucwJd8ci-NHng/edit?usp=sharing"",""ราชบุรี!M19"&amp;"3"")+IMPORTRANGE(""https://docs.google.com/spreadsheets/d/1lufeA2cfFqM-elVq2hznhDzC6Pr7wkJ9ZG_sYNGCMCU/edit?usp=sharing"",""ลพบุรี!M193"")+IMPORTRANGE(""https://docs.google.com/spreadsheets/d/10oOiF7loTyfsTkbd4MpaIm0HQ9SwB7IYHdIUvt-U1Uc/edit?usp=sharing"""&amp;",""สระแก้ว!M193"")+IMPORTRANGE(""https://docs.google.com/spreadsheets/d/1xmPlrr1QbdSIKvl1dWUl9K4PjAfSL9oeMr_37QVzcxc/edit?usp=sharing"",""สระบุรี!M193"")+IMPORTRANGE(""https://docs.google.com/spreadsheets/d/1j51vR6CYVGhABJpv6tkstgok82RLpXieLzW1yOY5rHw/edi"&amp;"t?usp=sharing"",""สิงห์บุรี!M193"")+IMPORTRANGE(""https://docs.google.com/spreadsheets/d/1H1EalTWKUSzO4Z1-1CwzoDUaVffgrThEBe2sl74kKG0/edit?usp=sharing"",""สุพรรณบุรี!M193"")+IMPORTRANGE(""https://docs.google.com/spreadsheets/d/1BmIruG_sIrJLYao_Pdr7zVArWsf"&amp;"oBt2692TMi6x_854/edit?usp=sharing"",""อ่างทอง!M193"")"),0)</f>
        <v>0</v>
      </c>
      <c r="N193" s="59">
        <f ca="1">IFERROR(__xludf.DUMMYFUNCTION("IMPORTRANGE(""https://docs.google.com/spreadsheets/d/13wPX838HrBrQMCywv1BsuMkt4PEKTChp52zj44s2izQ/edit?usp=sharing"",""กาญจนบุรี!N193"")+IMPORTRANGE(""https://docs.google.com/spreadsheets/d/1ddFKvqj1W1NEiWytbGlB1zMx_ykJDVtmfEQ-6-lIUBA/edit?usp=sharing"","&amp;"""จันทบุรี!N193"")+IMPORTRANGE(""https://docs.google.com/spreadsheets/d/1T1PQvRODqOBZk8BRht_U031fIS1beLA0Ub2CEytj2q0/edit?usp=sharing"",""ฉะเชิงเทรา!N193"")+IMPORTRANGE(""https://docs.google.com/spreadsheets/d/11tr1B-Bhyr79v2bkwVh5h_fR-PStkgjlZtkrZpYurG0/"&amp;"edit?usp=sharing"",""ชลบุรี!N193"")+IMPORTRANGE(""https://docs.google.com/spreadsheets/d/1hh-FVnSX0vozXhGluamEcS54Dw9_zqW0N7qJUWgJ0Sw/edit?usp=sharing"",""ชัยนาท!N193"")+IMPORTRANGE(""https://docs.google.com/spreadsheets/d/1jkqa6GXxSacMcY1eN8AHjMNJ_7dDXMJ"&amp;"VRLDlaFSOdPM/edit?usp=sharing"",""ตราด!N193"")+IMPORTRANGE(""https://docs.google.com/spreadsheets/d/18hSgUJ3VwClqi_qtULmmW3cLr0oe3OKaSYoKzdpTsYQ/edit?usp=sharing"",""นครนายก!N193"")+IMPORTRANGE(""https://docs.google.com/spreadsheets/d/1YTZo6WM2dQ6Ix6FSdnL"&amp;"5P7uVnVKu40sxZu975tgG10E/edit?usp=sharing"",""นครปฐม!N193"")+IMPORTRANGE(""https://docs.google.com/spreadsheets/d/1OYoGg4WDg5RIzwGeB10padOxJF9E_Vljuvvct_M7RDo/edit?usp=sharing"",""ปทุมธานี!N193"")+IMPORTRANGE(""https://docs.google.com/spreadsheets/d/1GbCI"&amp;"E4D4wk9FUozzqk7SxfDMxDVBwVmI5zcaVUSzKAc/edit?usp=sharing"",""ประจวบคีรีขันธ์!N193"")+IMPORTRANGE(""https://docs.google.com/spreadsheets/d/1vVf6wykvW_lAyu7Yo9L4hUTqHqIeP_qcVuxCtosJEbg/edit?usp=sharing"",""ปราจีนบุรี!N193"")+IMPORTRANGE(""https://docs.googl"&amp;"e.com/spreadsheets/d/1BIDqLLg5jk3v59G8NlR8rk5xfQDKne0sAvZHSj7TI6I/edit?usp=sharing"",""พระนครศรีอยุธยา!N193"")+IMPORTRANGE(""https://docs.google.com/spreadsheets/d/1YXvxf8Yu6_rV4hTBrwMqAcAnv6DfhUxh5emyM3CJp_w/edit?usp=sharing"",""เพชรบุรี!N193"")+IMPORTRA"&amp;"NGE(""https://docs.google.com/spreadsheets/d/19KBlQQs7uwvsao6t2n-KvW3Ax8J8uRRfZPq1zPbXgKc/edit?usp=sharing"",""ระยอง!N193"")+IMPORTRANGE(""https://docs.google.com/spreadsheets/d/1jQ6P4QcrGM89YfqcC_PxOHGCMq5ezhucwJd8ci-NHng/edit?usp=sharing"",""ราชบุรี!N19"&amp;"3"")+IMPORTRANGE(""https://docs.google.com/spreadsheets/d/1lufeA2cfFqM-elVq2hznhDzC6Pr7wkJ9ZG_sYNGCMCU/edit?usp=sharing"",""ลพบุรี!N193"")+IMPORTRANGE(""https://docs.google.com/spreadsheets/d/10oOiF7loTyfsTkbd4MpaIm0HQ9SwB7IYHdIUvt-U1Uc/edit?usp=sharing"""&amp;",""สระแก้ว!N193"")+IMPORTRANGE(""https://docs.google.com/spreadsheets/d/1xmPlrr1QbdSIKvl1dWUl9K4PjAfSL9oeMr_37QVzcxc/edit?usp=sharing"",""สระบุรี!N193"")+IMPORTRANGE(""https://docs.google.com/spreadsheets/d/1j51vR6CYVGhABJpv6tkstgok82RLpXieLzW1yOY5rHw/edi"&amp;"t?usp=sharing"",""สิงห์บุรี!N193"")+IMPORTRANGE(""https://docs.google.com/spreadsheets/d/1H1EalTWKUSzO4Z1-1CwzoDUaVffgrThEBe2sl74kKG0/edit?usp=sharing"",""สุพรรณบุรี!N193"")+IMPORTRANGE(""https://docs.google.com/spreadsheets/d/1BmIruG_sIrJLYao_Pdr7zVArWsf"&amp;"oBt2692TMi6x_854/edit?usp=sharing"",""อ่างทอง!N193"")"),0)</f>
        <v>0</v>
      </c>
      <c r="O193" s="59">
        <f t="shared" ca="1" si="93"/>
        <v>0</v>
      </c>
      <c r="P193" s="59">
        <f t="shared" ca="1" si="94"/>
        <v>0</v>
      </c>
    </row>
    <row r="194" spans="1:16" ht="18.75" x14ac:dyDescent="0.25">
      <c r="A194" s="157"/>
      <c r="B194" s="53"/>
      <c r="C194" s="53"/>
      <c r="D194" s="53"/>
      <c r="E194" s="60" t="s">
        <v>19</v>
      </c>
      <c r="F194" s="53"/>
      <c r="G194" s="55"/>
      <c r="H194" s="166" t="s">
        <v>12</v>
      </c>
      <c r="I194" s="164"/>
      <c r="J194" s="164"/>
      <c r="K194" s="165"/>
      <c r="L194" s="59">
        <f ca="1">IFERROR(__xludf.DUMMYFUNCTION("IMPORTRANGE(""https://docs.google.com/spreadsheets/d/13wPX838HrBrQMCywv1BsuMkt4PEKTChp52zj44s2izQ/edit?usp=sharing"",""กาญจนบุรี!L194"")+IMPORTRANGE(""https://docs.google.com/spreadsheets/d/1ddFKvqj1W1NEiWytbGlB1zMx_ykJDVtmfEQ-6-lIUBA/edit?usp=sharing"","&amp;"""จันทบุรี!L194"")+IMPORTRANGE(""https://docs.google.com/spreadsheets/d/1T1PQvRODqOBZk8BRht_U031fIS1beLA0Ub2CEytj2q0/edit?usp=sharing"",""ฉะเชิงเทรา!L194"")+IMPORTRANGE(""https://docs.google.com/spreadsheets/d/11tr1B-Bhyr79v2bkwVh5h_fR-PStkgjlZtkrZpYurG0/"&amp;"edit?usp=sharing"",""ชลบุรี!L194"")+IMPORTRANGE(""https://docs.google.com/spreadsheets/d/1hh-FVnSX0vozXhGluamEcS54Dw9_zqW0N7qJUWgJ0Sw/edit?usp=sharing"",""ชัยนาท!L194"")+IMPORTRANGE(""https://docs.google.com/spreadsheets/d/1jkqa6GXxSacMcY1eN8AHjMNJ_7dDXMJ"&amp;"VRLDlaFSOdPM/edit?usp=sharing"",""ตราด!L194"")+IMPORTRANGE(""https://docs.google.com/spreadsheets/d/18hSgUJ3VwClqi_qtULmmW3cLr0oe3OKaSYoKzdpTsYQ/edit?usp=sharing"",""นครนายก!L194"")+IMPORTRANGE(""https://docs.google.com/spreadsheets/d/1YTZo6WM2dQ6Ix6FSdnL"&amp;"5P7uVnVKu40sxZu975tgG10E/edit?usp=sharing"",""นครปฐม!L194"")+IMPORTRANGE(""https://docs.google.com/spreadsheets/d/1OYoGg4WDg5RIzwGeB10padOxJF9E_Vljuvvct_M7RDo/edit?usp=sharing"",""ปทุมธานี!L194"")+IMPORTRANGE(""https://docs.google.com/spreadsheets/d/1GbCI"&amp;"E4D4wk9FUozzqk7SxfDMxDVBwVmI5zcaVUSzKAc/edit?usp=sharing"",""ประจวบคีรีขันธ์!L194"")+IMPORTRANGE(""https://docs.google.com/spreadsheets/d/1vVf6wykvW_lAyu7Yo9L4hUTqHqIeP_qcVuxCtosJEbg/edit?usp=sharing"",""ปราจีนบุรี!L194"")+IMPORTRANGE(""https://docs.googl"&amp;"e.com/spreadsheets/d/1BIDqLLg5jk3v59G8NlR8rk5xfQDKne0sAvZHSj7TI6I/edit?usp=sharing"",""พระนครศรีอยุธยา!L194"")+IMPORTRANGE(""https://docs.google.com/spreadsheets/d/1YXvxf8Yu6_rV4hTBrwMqAcAnv6DfhUxh5emyM3CJp_w/edit?usp=sharing"",""เพชรบุรี!L194"")+IMPORTRA"&amp;"NGE(""https://docs.google.com/spreadsheets/d/19KBlQQs7uwvsao6t2n-KvW3Ax8J8uRRfZPq1zPbXgKc/edit?usp=sharing"",""ระยอง!L194"")+IMPORTRANGE(""https://docs.google.com/spreadsheets/d/1jQ6P4QcrGM89YfqcC_PxOHGCMq5ezhucwJd8ci-NHng/edit?usp=sharing"",""ราชบุรี!L19"&amp;"4"")+IMPORTRANGE(""https://docs.google.com/spreadsheets/d/1lufeA2cfFqM-elVq2hznhDzC6Pr7wkJ9ZG_sYNGCMCU/edit?usp=sharing"",""ลพบุรี!L194"")+IMPORTRANGE(""https://docs.google.com/spreadsheets/d/10oOiF7loTyfsTkbd4MpaIm0HQ9SwB7IYHdIUvt-U1Uc/edit?usp=sharing"""&amp;",""สระแก้ว!L194"")+IMPORTRANGE(""https://docs.google.com/spreadsheets/d/1xmPlrr1QbdSIKvl1dWUl9K4PjAfSL9oeMr_37QVzcxc/edit?usp=sharing"",""สระบุรี!L194"")+IMPORTRANGE(""https://docs.google.com/spreadsheets/d/1j51vR6CYVGhABJpv6tkstgok82RLpXieLzW1yOY5rHw/edi"&amp;"t?usp=sharing"",""สิงห์บุรี!L194"")+IMPORTRANGE(""https://docs.google.com/spreadsheets/d/1H1EalTWKUSzO4Z1-1CwzoDUaVffgrThEBe2sl74kKG0/edit?usp=sharing"",""สุพรรณบุรี!L194"")+IMPORTRANGE(""https://docs.google.com/spreadsheets/d/1BmIruG_sIrJLYao_Pdr7zVArWsf"&amp;"oBt2692TMi6x_854/edit?usp=sharing"",""อ่างทอง!L194"")"),0)</f>
        <v>0</v>
      </c>
      <c r="M194" s="59">
        <f ca="1">IFERROR(__xludf.DUMMYFUNCTION("IMPORTRANGE(""https://docs.google.com/spreadsheets/d/13wPX838HrBrQMCywv1BsuMkt4PEKTChp52zj44s2izQ/edit?usp=sharing"",""กาญจนบุรี!M194"")+IMPORTRANGE(""https://docs.google.com/spreadsheets/d/1ddFKvqj1W1NEiWytbGlB1zMx_ykJDVtmfEQ-6-lIUBA/edit?usp=sharing"","&amp;"""จันทบุรี!M194"")+IMPORTRANGE(""https://docs.google.com/spreadsheets/d/1T1PQvRODqOBZk8BRht_U031fIS1beLA0Ub2CEytj2q0/edit?usp=sharing"",""ฉะเชิงเทรา!M194"")+IMPORTRANGE(""https://docs.google.com/spreadsheets/d/11tr1B-Bhyr79v2bkwVh5h_fR-PStkgjlZtkrZpYurG0/"&amp;"edit?usp=sharing"",""ชลบุรี!M194"")+IMPORTRANGE(""https://docs.google.com/spreadsheets/d/1hh-FVnSX0vozXhGluamEcS54Dw9_zqW0N7qJUWgJ0Sw/edit?usp=sharing"",""ชัยนาท!M194"")+IMPORTRANGE(""https://docs.google.com/spreadsheets/d/1jkqa6GXxSacMcY1eN8AHjMNJ_7dDXMJ"&amp;"VRLDlaFSOdPM/edit?usp=sharing"",""ตราด!M194"")+IMPORTRANGE(""https://docs.google.com/spreadsheets/d/18hSgUJ3VwClqi_qtULmmW3cLr0oe3OKaSYoKzdpTsYQ/edit?usp=sharing"",""นครนายก!M194"")+IMPORTRANGE(""https://docs.google.com/spreadsheets/d/1YTZo6WM2dQ6Ix6FSdnL"&amp;"5P7uVnVKu40sxZu975tgG10E/edit?usp=sharing"",""นครปฐม!M194"")+IMPORTRANGE(""https://docs.google.com/spreadsheets/d/1OYoGg4WDg5RIzwGeB10padOxJF9E_Vljuvvct_M7RDo/edit?usp=sharing"",""ปทุมธานี!M194"")+IMPORTRANGE(""https://docs.google.com/spreadsheets/d/1GbCI"&amp;"E4D4wk9FUozzqk7SxfDMxDVBwVmI5zcaVUSzKAc/edit?usp=sharing"",""ประจวบคีรีขันธ์!M194"")+IMPORTRANGE(""https://docs.google.com/spreadsheets/d/1vVf6wykvW_lAyu7Yo9L4hUTqHqIeP_qcVuxCtosJEbg/edit?usp=sharing"",""ปราจีนบุรี!M194"")+IMPORTRANGE(""https://docs.googl"&amp;"e.com/spreadsheets/d/1BIDqLLg5jk3v59G8NlR8rk5xfQDKne0sAvZHSj7TI6I/edit?usp=sharing"",""พระนครศรีอยุธยา!M194"")+IMPORTRANGE(""https://docs.google.com/spreadsheets/d/1YXvxf8Yu6_rV4hTBrwMqAcAnv6DfhUxh5emyM3CJp_w/edit?usp=sharing"",""เพชรบุรี!M194"")+IMPORTRA"&amp;"NGE(""https://docs.google.com/spreadsheets/d/19KBlQQs7uwvsao6t2n-KvW3Ax8J8uRRfZPq1zPbXgKc/edit?usp=sharing"",""ระยอง!M194"")+IMPORTRANGE(""https://docs.google.com/spreadsheets/d/1jQ6P4QcrGM89YfqcC_PxOHGCMq5ezhucwJd8ci-NHng/edit?usp=sharing"",""ราชบุรี!M19"&amp;"4"")+IMPORTRANGE(""https://docs.google.com/spreadsheets/d/1lufeA2cfFqM-elVq2hznhDzC6Pr7wkJ9ZG_sYNGCMCU/edit?usp=sharing"",""ลพบุรี!M194"")+IMPORTRANGE(""https://docs.google.com/spreadsheets/d/10oOiF7loTyfsTkbd4MpaIm0HQ9SwB7IYHdIUvt-U1Uc/edit?usp=sharing"""&amp;",""สระแก้ว!M194"")+IMPORTRANGE(""https://docs.google.com/spreadsheets/d/1xmPlrr1QbdSIKvl1dWUl9K4PjAfSL9oeMr_37QVzcxc/edit?usp=sharing"",""สระบุรี!M194"")+IMPORTRANGE(""https://docs.google.com/spreadsheets/d/1j51vR6CYVGhABJpv6tkstgok82RLpXieLzW1yOY5rHw/edi"&amp;"t?usp=sharing"",""สิงห์บุรี!M194"")+IMPORTRANGE(""https://docs.google.com/spreadsheets/d/1H1EalTWKUSzO4Z1-1CwzoDUaVffgrThEBe2sl74kKG0/edit?usp=sharing"",""สุพรรณบุรี!M194"")+IMPORTRANGE(""https://docs.google.com/spreadsheets/d/1BmIruG_sIrJLYao_Pdr7zVArWsf"&amp;"oBt2692TMi6x_854/edit?usp=sharing"",""อ่างทอง!M194"")"),0)</f>
        <v>0</v>
      </c>
      <c r="N194" s="59">
        <f ca="1">IFERROR(__xludf.DUMMYFUNCTION("IMPORTRANGE(""https://docs.google.com/spreadsheets/d/13wPX838HrBrQMCywv1BsuMkt4PEKTChp52zj44s2izQ/edit?usp=sharing"",""กาญจนบุรี!N194"")+IMPORTRANGE(""https://docs.google.com/spreadsheets/d/1ddFKvqj1W1NEiWytbGlB1zMx_ykJDVtmfEQ-6-lIUBA/edit?usp=sharing"","&amp;"""จันทบุรี!N194"")+IMPORTRANGE(""https://docs.google.com/spreadsheets/d/1T1PQvRODqOBZk8BRht_U031fIS1beLA0Ub2CEytj2q0/edit?usp=sharing"",""ฉะเชิงเทรา!N194"")+IMPORTRANGE(""https://docs.google.com/spreadsheets/d/11tr1B-Bhyr79v2bkwVh5h_fR-PStkgjlZtkrZpYurG0/"&amp;"edit?usp=sharing"",""ชลบุรี!N194"")+IMPORTRANGE(""https://docs.google.com/spreadsheets/d/1hh-FVnSX0vozXhGluamEcS54Dw9_zqW0N7qJUWgJ0Sw/edit?usp=sharing"",""ชัยนาท!N194"")+IMPORTRANGE(""https://docs.google.com/spreadsheets/d/1jkqa6GXxSacMcY1eN8AHjMNJ_7dDXMJ"&amp;"VRLDlaFSOdPM/edit?usp=sharing"",""ตราด!N194"")+IMPORTRANGE(""https://docs.google.com/spreadsheets/d/18hSgUJ3VwClqi_qtULmmW3cLr0oe3OKaSYoKzdpTsYQ/edit?usp=sharing"",""นครนายก!N194"")+IMPORTRANGE(""https://docs.google.com/spreadsheets/d/1YTZo6WM2dQ6Ix6FSdnL"&amp;"5P7uVnVKu40sxZu975tgG10E/edit?usp=sharing"",""นครปฐม!N194"")+IMPORTRANGE(""https://docs.google.com/spreadsheets/d/1OYoGg4WDg5RIzwGeB10padOxJF9E_Vljuvvct_M7RDo/edit?usp=sharing"",""ปทุมธานี!N194"")+IMPORTRANGE(""https://docs.google.com/spreadsheets/d/1GbCI"&amp;"E4D4wk9FUozzqk7SxfDMxDVBwVmI5zcaVUSzKAc/edit?usp=sharing"",""ประจวบคีรีขันธ์!N194"")+IMPORTRANGE(""https://docs.google.com/spreadsheets/d/1vVf6wykvW_lAyu7Yo9L4hUTqHqIeP_qcVuxCtosJEbg/edit?usp=sharing"",""ปราจีนบุรี!N194"")+IMPORTRANGE(""https://docs.googl"&amp;"e.com/spreadsheets/d/1BIDqLLg5jk3v59G8NlR8rk5xfQDKne0sAvZHSj7TI6I/edit?usp=sharing"",""พระนครศรีอยุธยา!N194"")+IMPORTRANGE(""https://docs.google.com/spreadsheets/d/1YXvxf8Yu6_rV4hTBrwMqAcAnv6DfhUxh5emyM3CJp_w/edit?usp=sharing"",""เพชรบุรี!N194"")+IMPORTRA"&amp;"NGE(""https://docs.google.com/spreadsheets/d/19KBlQQs7uwvsao6t2n-KvW3Ax8J8uRRfZPq1zPbXgKc/edit?usp=sharing"",""ระยอง!N194"")+IMPORTRANGE(""https://docs.google.com/spreadsheets/d/1jQ6P4QcrGM89YfqcC_PxOHGCMq5ezhucwJd8ci-NHng/edit?usp=sharing"",""ราชบุรี!N19"&amp;"4"")+IMPORTRANGE(""https://docs.google.com/spreadsheets/d/1lufeA2cfFqM-elVq2hznhDzC6Pr7wkJ9ZG_sYNGCMCU/edit?usp=sharing"",""ลพบุรี!N194"")+IMPORTRANGE(""https://docs.google.com/spreadsheets/d/10oOiF7loTyfsTkbd4MpaIm0HQ9SwB7IYHdIUvt-U1Uc/edit?usp=sharing"""&amp;",""สระแก้ว!N194"")+IMPORTRANGE(""https://docs.google.com/spreadsheets/d/1xmPlrr1QbdSIKvl1dWUl9K4PjAfSL9oeMr_37QVzcxc/edit?usp=sharing"",""สระบุรี!N194"")+IMPORTRANGE(""https://docs.google.com/spreadsheets/d/1j51vR6CYVGhABJpv6tkstgok82RLpXieLzW1yOY5rHw/edi"&amp;"t?usp=sharing"",""สิงห์บุรี!N194"")+IMPORTRANGE(""https://docs.google.com/spreadsheets/d/1H1EalTWKUSzO4Z1-1CwzoDUaVffgrThEBe2sl74kKG0/edit?usp=sharing"",""สุพรรณบุรี!N194"")+IMPORTRANGE(""https://docs.google.com/spreadsheets/d/1BmIruG_sIrJLYao_Pdr7zVArWsf"&amp;"oBt2692TMi6x_854/edit?usp=sharing"",""อ่างทอง!N194"")"),0)</f>
        <v>0</v>
      </c>
      <c r="O194" s="59">
        <f t="shared" ca="1" si="93"/>
        <v>0</v>
      </c>
      <c r="P194" s="59">
        <f t="shared" ca="1" si="94"/>
        <v>0</v>
      </c>
    </row>
    <row r="195" spans="1:16" ht="19.5" x14ac:dyDescent="0.3">
      <c r="A195" s="281"/>
      <c r="B195" s="282"/>
      <c r="C195" s="283" t="s">
        <v>72</v>
      </c>
      <c r="D195" s="284"/>
      <c r="E195" s="284"/>
      <c r="F195" s="284"/>
      <c r="G195" s="285"/>
      <c r="H195" s="286" t="s">
        <v>73</v>
      </c>
      <c r="I195" s="287">
        <f t="shared" ref="I195:J195" ca="1" si="99">I198</f>
        <v>84</v>
      </c>
      <c r="J195" s="287">
        <f t="shared" ca="1" si="99"/>
        <v>9</v>
      </c>
      <c r="K195" s="288">
        <f ca="1">IF(I195&gt;0,J195*100/I195,0)</f>
        <v>10.714285714285714</v>
      </c>
      <c r="L195" s="289"/>
      <c r="M195" s="289"/>
      <c r="N195" s="289"/>
      <c r="O195" s="289"/>
      <c r="P195" s="289"/>
    </row>
    <row r="196" spans="1:16" ht="19.5" x14ac:dyDescent="0.3">
      <c r="A196" s="157"/>
      <c r="B196" s="53"/>
      <c r="C196" s="158" t="s">
        <v>16</v>
      </c>
      <c r="D196" s="290" t="s">
        <v>17</v>
      </c>
      <c r="E196" s="53"/>
      <c r="F196" s="53"/>
      <c r="G196" s="55"/>
      <c r="H196" s="291" t="s">
        <v>12</v>
      </c>
      <c r="I196" s="57"/>
      <c r="J196" s="57"/>
      <c r="K196" s="58"/>
      <c r="L196" s="161">
        <f ca="1">IFERROR(__xludf.DUMMYFUNCTION("IMPORTRANGE(""https://docs.google.com/spreadsheets/d/13wPX838HrBrQMCywv1BsuMkt4PEKTChp52zj44s2izQ/edit?usp=sharing"",""กาญจนบุรี!L196"")+IMPORTRANGE(""https://docs.google.com/spreadsheets/d/1ddFKvqj1W1NEiWytbGlB1zMx_ykJDVtmfEQ-6-lIUBA/edit?usp=sharing"","&amp;"""จันทบุรี!L196"")+IMPORTRANGE(""https://docs.google.com/spreadsheets/d/1T1PQvRODqOBZk8BRht_U031fIS1beLA0Ub2CEytj2q0/edit?usp=sharing"",""ฉะเชิงเทรา!L196"")+IMPORTRANGE(""https://docs.google.com/spreadsheets/d/11tr1B-Bhyr79v2bkwVh5h_fR-PStkgjlZtkrZpYurG0/"&amp;"edit?usp=sharing"",""ชลบุรี!L196"")+IMPORTRANGE(""https://docs.google.com/spreadsheets/d/1hh-FVnSX0vozXhGluamEcS54Dw9_zqW0N7qJUWgJ0Sw/edit?usp=sharing"",""ชัยนาท!L196"")+IMPORTRANGE(""https://docs.google.com/spreadsheets/d/1jkqa6GXxSacMcY1eN8AHjMNJ_7dDXMJ"&amp;"VRLDlaFSOdPM/edit?usp=sharing"",""ตราด!L196"")+IMPORTRANGE(""https://docs.google.com/spreadsheets/d/18hSgUJ3VwClqi_qtULmmW3cLr0oe3OKaSYoKzdpTsYQ/edit?usp=sharing"",""นครนายก!L196"")+IMPORTRANGE(""https://docs.google.com/spreadsheets/d/1YTZo6WM2dQ6Ix6FSdnL"&amp;"5P7uVnVKu40sxZu975tgG10E/edit?usp=sharing"",""นครปฐม!L196"")+IMPORTRANGE(""https://docs.google.com/spreadsheets/d/1OYoGg4WDg5RIzwGeB10padOxJF9E_Vljuvvct_M7RDo/edit?usp=sharing"",""ปทุมธานี!L196"")+IMPORTRANGE(""https://docs.google.com/spreadsheets/d/1GbCI"&amp;"E4D4wk9FUozzqk7SxfDMxDVBwVmI5zcaVUSzKAc/edit?usp=sharing"",""ประจวบคีรีขันธ์!L196"")+IMPORTRANGE(""https://docs.google.com/spreadsheets/d/1vVf6wykvW_lAyu7Yo9L4hUTqHqIeP_qcVuxCtosJEbg/edit?usp=sharing"",""ปราจีนบุรี!L196"")+IMPORTRANGE(""https://docs.googl"&amp;"e.com/spreadsheets/d/1BIDqLLg5jk3v59G8NlR8rk5xfQDKne0sAvZHSj7TI6I/edit?usp=sharing"",""พระนครศรีอยุธยา!L196"")+IMPORTRANGE(""https://docs.google.com/spreadsheets/d/1YXvxf8Yu6_rV4hTBrwMqAcAnv6DfhUxh5emyM3CJp_w/edit?usp=sharing"",""เพชรบุรี!L196"")+IMPORTRA"&amp;"NGE(""https://docs.google.com/spreadsheets/d/19KBlQQs7uwvsao6t2n-KvW3Ax8J8uRRfZPq1zPbXgKc/edit?usp=sharing"",""ระยอง!L196"")+IMPORTRANGE(""https://docs.google.com/spreadsheets/d/1jQ6P4QcrGM89YfqcC_PxOHGCMq5ezhucwJd8ci-NHng/edit?usp=sharing"",""ราชบุรี!L19"&amp;"6"")+IMPORTRANGE(""https://docs.google.com/spreadsheets/d/1lufeA2cfFqM-elVq2hznhDzC6Pr7wkJ9ZG_sYNGCMCU/edit?usp=sharing"",""ลพบุรี!L196"")+IMPORTRANGE(""https://docs.google.com/spreadsheets/d/10oOiF7loTyfsTkbd4MpaIm0HQ9SwB7IYHdIUvt-U1Uc/edit?usp=sharing"""&amp;",""สระแก้ว!L196"")+IMPORTRANGE(""https://docs.google.com/spreadsheets/d/1xmPlrr1QbdSIKvl1dWUl9K4PjAfSL9oeMr_37QVzcxc/edit?usp=sharing"",""สระบุรี!L196"")+IMPORTRANGE(""https://docs.google.com/spreadsheets/d/1j51vR6CYVGhABJpv6tkstgok82RLpXieLzW1yOY5rHw/edi"&amp;"t?usp=sharing"",""สิงห์บุรี!L196"")+IMPORTRANGE(""https://docs.google.com/spreadsheets/d/1H1EalTWKUSzO4Z1-1CwzoDUaVffgrThEBe2sl74kKG0/edit?usp=sharing"",""สุพรรณบุรี!L196"")+IMPORTRANGE(""https://docs.google.com/spreadsheets/d/1BmIruG_sIrJLYao_Pdr7zVArWsf"&amp;"oBt2692TMi6x_854/edit?usp=sharing"",""อ่างทอง!L196"")"),126000)</f>
        <v>126000</v>
      </c>
      <c r="M196" s="58"/>
      <c r="N196" s="161">
        <f ca="1">IFERROR(__xludf.DUMMYFUNCTION("IMPORTRANGE(""https://docs.google.com/spreadsheets/d/13wPX838HrBrQMCywv1BsuMkt4PEKTChp52zj44s2izQ/edit?usp=sharing"",""กาญจนบุรี!N196"")+IMPORTRANGE(""https://docs.google.com/spreadsheets/d/1ddFKvqj1W1NEiWytbGlB1zMx_ykJDVtmfEQ-6-lIUBA/edit?usp=sharing"","&amp;"""จันทบุรี!N196"")+IMPORTRANGE(""https://docs.google.com/spreadsheets/d/1T1PQvRODqOBZk8BRht_U031fIS1beLA0Ub2CEytj2q0/edit?usp=sharing"",""ฉะเชิงเทรา!N196"")+IMPORTRANGE(""https://docs.google.com/spreadsheets/d/11tr1B-Bhyr79v2bkwVh5h_fR-PStkgjlZtkrZpYurG0/"&amp;"edit?usp=sharing"",""ชลบุรี!N196"")+IMPORTRANGE(""https://docs.google.com/spreadsheets/d/1hh-FVnSX0vozXhGluamEcS54Dw9_zqW0N7qJUWgJ0Sw/edit?usp=sharing"",""ชัยนาท!N196"")+IMPORTRANGE(""https://docs.google.com/spreadsheets/d/1jkqa6GXxSacMcY1eN8AHjMNJ_7dDXMJ"&amp;"VRLDlaFSOdPM/edit?usp=sharing"",""ตราด!N196"")+IMPORTRANGE(""https://docs.google.com/spreadsheets/d/18hSgUJ3VwClqi_qtULmmW3cLr0oe3OKaSYoKzdpTsYQ/edit?usp=sharing"",""นครนายก!N196"")+IMPORTRANGE(""https://docs.google.com/spreadsheets/d/1YTZo6WM2dQ6Ix6FSdnL"&amp;"5P7uVnVKu40sxZu975tgG10E/edit?usp=sharing"",""นครปฐม!N196"")+IMPORTRANGE(""https://docs.google.com/spreadsheets/d/1OYoGg4WDg5RIzwGeB10padOxJF9E_Vljuvvct_M7RDo/edit?usp=sharing"",""ปทุมธานี!N196"")+IMPORTRANGE(""https://docs.google.com/spreadsheets/d/1GbCI"&amp;"E4D4wk9FUozzqk7SxfDMxDVBwVmI5zcaVUSzKAc/edit?usp=sharing"",""ประจวบคีรีขันธ์!N196"")+IMPORTRANGE(""https://docs.google.com/spreadsheets/d/1vVf6wykvW_lAyu7Yo9L4hUTqHqIeP_qcVuxCtosJEbg/edit?usp=sharing"",""ปราจีนบุรี!N196"")+IMPORTRANGE(""https://docs.googl"&amp;"e.com/spreadsheets/d/1BIDqLLg5jk3v59G8NlR8rk5xfQDKne0sAvZHSj7TI6I/edit?usp=sharing"",""พระนครศรีอยุธยา!N196"")+IMPORTRANGE(""https://docs.google.com/spreadsheets/d/1YXvxf8Yu6_rV4hTBrwMqAcAnv6DfhUxh5emyM3CJp_w/edit?usp=sharing"",""เพชรบุรี!N196"")+IMPORTRA"&amp;"NGE(""https://docs.google.com/spreadsheets/d/19KBlQQs7uwvsao6t2n-KvW3Ax8J8uRRfZPq1zPbXgKc/edit?usp=sharing"",""ระยอง!N196"")+IMPORTRANGE(""https://docs.google.com/spreadsheets/d/1jQ6P4QcrGM89YfqcC_PxOHGCMq5ezhucwJd8ci-NHng/edit?usp=sharing"",""ราชบุรี!N19"&amp;"6"")+IMPORTRANGE(""https://docs.google.com/spreadsheets/d/1lufeA2cfFqM-elVq2hznhDzC6Pr7wkJ9ZG_sYNGCMCU/edit?usp=sharing"",""ลพบุรี!N196"")+IMPORTRANGE(""https://docs.google.com/spreadsheets/d/10oOiF7loTyfsTkbd4MpaIm0HQ9SwB7IYHdIUvt-U1Uc/edit?usp=sharing"""&amp;",""สระแก้ว!N196"")+IMPORTRANGE(""https://docs.google.com/spreadsheets/d/1xmPlrr1QbdSIKvl1dWUl9K4PjAfSL9oeMr_37QVzcxc/edit?usp=sharing"",""สระบุรี!N196"")+IMPORTRANGE(""https://docs.google.com/spreadsheets/d/1j51vR6CYVGhABJpv6tkstgok82RLpXieLzW1yOY5rHw/edi"&amp;"t?usp=sharing"",""สิงห์บุรี!N196"")+IMPORTRANGE(""https://docs.google.com/spreadsheets/d/1H1EalTWKUSzO4Z1-1CwzoDUaVffgrThEBe2sl74kKG0/edit?usp=sharing"",""สุพรรณบุรี!N196"")+IMPORTRANGE(""https://docs.google.com/spreadsheets/d/1BmIruG_sIrJLYao_Pdr7zVArWsf"&amp;"oBt2692TMi6x_854/edit?usp=sharing"",""อ่างทอง!N196"")"),9090)</f>
        <v>9090</v>
      </c>
      <c r="O196" s="161">
        <f ca="1">IF(L196&gt;0,N196*100/L196,0)</f>
        <v>7.2142857142857144</v>
      </c>
      <c r="P196" s="161"/>
    </row>
    <row r="197" spans="1:16" ht="19.5" x14ac:dyDescent="0.3">
      <c r="A197" s="167"/>
      <c r="B197" s="168"/>
      <c r="C197" s="158" t="s">
        <v>16</v>
      </c>
      <c r="D197" s="169" t="s">
        <v>36</v>
      </c>
      <c r="E197" s="170"/>
      <c r="F197" s="170"/>
      <c r="G197" s="171"/>
      <c r="H197" s="172"/>
      <c r="I197" s="57"/>
      <c r="J197" s="57"/>
      <c r="K197" s="58"/>
      <c r="L197" s="58"/>
      <c r="M197" s="58"/>
      <c r="N197" s="58"/>
      <c r="O197" s="58"/>
      <c r="P197" s="58"/>
    </row>
    <row r="198" spans="1:16" ht="18.75" x14ac:dyDescent="0.25">
      <c r="A198" s="167"/>
      <c r="B198" s="168"/>
      <c r="C198" s="168"/>
      <c r="D198" s="195" t="s">
        <v>74</v>
      </c>
      <c r="E198" s="174"/>
      <c r="F198" s="174"/>
      <c r="G198" s="172"/>
      <c r="H198" s="180" t="s">
        <v>73</v>
      </c>
      <c r="I198" s="196">
        <f ca="1">IFERROR(__xludf.DUMMYFUNCTION("IMPORTRANGE(""https://docs.google.com/spreadsheets/d/13wPX838HrBrQMCywv1BsuMkt4PEKTChp52zj44s2izQ/edit?usp=sharing"",""กาญจนบุรี!I198"")+IMPORTRANGE(""https://docs.google.com/spreadsheets/d/1ddFKvqj1W1NEiWytbGlB1zMx_ykJDVtmfEQ-6-lIUBA/edit?usp=sharing"","&amp;"""จันทบุรี!I198"")+IMPORTRANGE(""https://docs.google.com/spreadsheets/d/1T1PQvRODqOBZk8BRht_U031fIS1beLA0Ub2CEytj2q0/edit?usp=sharing"",""ฉะเชิงเทรา!I198"")+IMPORTRANGE(""https://docs.google.com/spreadsheets/d/11tr1B-Bhyr79v2bkwVh5h_fR-PStkgjlZtkrZpYurG0/"&amp;"edit?usp=sharing"",""ชลบุรี!I198"")+IMPORTRANGE(""https://docs.google.com/spreadsheets/d/1hh-FVnSX0vozXhGluamEcS54Dw9_zqW0N7qJUWgJ0Sw/edit?usp=sharing"",""ชัยนาท!I198"")+IMPORTRANGE(""https://docs.google.com/spreadsheets/d/1jkqa6GXxSacMcY1eN8AHjMNJ_7dDXMJ"&amp;"VRLDlaFSOdPM/edit?usp=sharing"",""ตราด!I198"")+IMPORTRANGE(""https://docs.google.com/spreadsheets/d/18hSgUJ3VwClqi_qtULmmW3cLr0oe3OKaSYoKzdpTsYQ/edit?usp=sharing"",""นครนายก!I198"")+IMPORTRANGE(""https://docs.google.com/spreadsheets/d/1YTZo6WM2dQ6Ix6FSdnL"&amp;"5P7uVnVKu40sxZu975tgG10E/edit?usp=sharing"",""นครปฐม!I198"")+IMPORTRANGE(""https://docs.google.com/spreadsheets/d/1OYoGg4WDg5RIzwGeB10padOxJF9E_Vljuvvct_M7RDo/edit?usp=sharing"",""ปทุมธานี!I198"")+IMPORTRANGE(""https://docs.google.com/spreadsheets/d/1GbCI"&amp;"E4D4wk9FUozzqk7SxfDMxDVBwVmI5zcaVUSzKAc/edit?usp=sharing"",""ประจวบคีรีขันธ์!I198"")+IMPORTRANGE(""https://docs.google.com/spreadsheets/d/1vVf6wykvW_lAyu7Yo9L4hUTqHqIeP_qcVuxCtosJEbg/edit?usp=sharing"",""ปราจีนบุรี!I198"")+IMPORTRANGE(""https://docs.googl"&amp;"e.com/spreadsheets/d/1BIDqLLg5jk3v59G8NlR8rk5xfQDKne0sAvZHSj7TI6I/edit?usp=sharing"",""พระนครศรีอยุธยา!I198"")+IMPORTRANGE(""https://docs.google.com/spreadsheets/d/1YXvxf8Yu6_rV4hTBrwMqAcAnv6DfhUxh5emyM3CJp_w/edit?usp=sharing"",""เพชรบุรี!I198"")+IMPORTRA"&amp;"NGE(""https://docs.google.com/spreadsheets/d/19KBlQQs7uwvsao6t2n-KvW3Ax8J8uRRfZPq1zPbXgKc/edit?usp=sharing"",""ระยอง!I198"")+IMPORTRANGE(""https://docs.google.com/spreadsheets/d/1jQ6P4QcrGM89YfqcC_PxOHGCMq5ezhucwJd8ci-NHng/edit?usp=sharing"",""ราชบุรี!I19"&amp;"8"")+IMPORTRANGE(""https://docs.google.com/spreadsheets/d/1lufeA2cfFqM-elVq2hznhDzC6Pr7wkJ9ZG_sYNGCMCU/edit?usp=sharing"",""ลพบุรี!I198"")+IMPORTRANGE(""https://docs.google.com/spreadsheets/d/10oOiF7loTyfsTkbd4MpaIm0HQ9SwB7IYHdIUvt-U1Uc/edit?usp=sharing"""&amp;",""สระแก้ว!I198"")+IMPORTRANGE(""https://docs.google.com/spreadsheets/d/1xmPlrr1QbdSIKvl1dWUl9K4PjAfSL9oeMr_37QVzcxc/edit?usp=sharing"",""สระบุรี!I198"")+IMPORTRANGE(""https://docs.google.com/spreadsheets/d/1j51vR6CYVGhABJpv6tkstgok82RLpXieLzW1yOY5rHw/edi"&amp;"t?usp=sharing"",""สิงห์บุรี!I198"")+IMPORTRANGE(""https://docs.google.com/spreadsheets/d/1H1EalTWKUSzO4Z1-1CwzoDUaVffgrThEBe2sl74kKG0/edit?usp=sharing"",""สุพรรณบุรี!I198"")+IMPORTRANGE(""https://docs.google.com/spreadsheets/d/1BmIruG_sIrJLYao_Pdr7zVArWsf"&amp;"oBt2692TMi6x_854/edit?usp=sharing"",""อ่างทอง!I198"")"),84)</f>
        <v>84</v>
      </c>
      <c r="J198" s="182">
        <f ca="1">IFERROR(__xludf.DUMMYFUNCTION("IMPORTRANGE(""https://docs.google.com/spreadsheets/d/13wPX838HrBrQMCywv1BsuMkt4PEKTChp52zj44s2izQ/edit?usp=sharing"",""กาญจนบุรี!J198"")+IMPORTRANGE(""https://docs.google.com/spreadsheets/d/1ddFKvqj1W1NEiWytbGlB1zMx_ykJDVtmfEQ-6-lIUBA/edit?usp=sharing"","&amp;"""จันทบุรี!J198"")+IMPORTRANGE(""https://docs.google.com/spreadsheets/d/1T1PQvRODqOBZk8BRht_U031fIS1beLA0Ub2CEytj2q0/edit?usp=sharing"",""ฉะเชิงเทรา!J198"")+IMPORTRANGE(""https://docs.google.com/spreadsheets/d/11tr1B-Bhyr79v2bkwVh5h_fR-PStkgjlZtkrZpYurG0/"&amp;"edit?usp=sharing"",""ชลบุรี!J198"")+IMPORTRANGE(""https://docs.google.com/spreadsheets/d/1hh-FVnSX0vozXhGluamEcS54Dw9_zqW0N7qJUWgJ0Sw/edit?usp=sharing"",""ชัยนาท!J198"")+IMPORTRANGE(""https://docs.google.com/spreadsheets/d/1jkqa6GXxSacMcY1eN8AHjMNJ_7dDXMJ"&amp;"VRLDlaFSOdPM/edit?usp=sharing"",""ตราด!J198"")+IMPORTRANGE(""https://docs.google.com/spreadsheets/d/18hSgUJ3VwClqi_qtULmmW3cLr0oe3OKaSYoKzdpTsYQ/edit?usp=sharing"",""นครนายก!J198"")+IMPORTRANGE(""https://docs.google.com/spreadsheets/d/1YTZo6WM2dQ6Ix6FSdnL"&amp;"5P7uVnVKu40sxZu975tgG10E/edit?usp=sharing"",""นครปฐม!J198"")+IMPORTRANGE(""https://docs.google.com/spreadsheets/d/1OYoGg4WDg5RIzwGeB10padOxJF9E_Vljuvvct_M7RDo/edit?usp=sharing"",""ปทุมธานี!J198"")+IMPORTRANGE(""https://docs.google.com/spreadsheets/d/1GbCI"&amp;"E4D4wk9FUozzqk7SxfDMxDVBwVmI5zcaVUSzKAc/edit?usp=sharing"",""ประจวบคีรีขันธ์!J198"")+IMPORTRANGE(""https://docs.google.com/spreadsheets/d/1vVf6wykvW_lAyu7Yo9L4hUTqHqIeP_qcVuxCtosJEbg/edit?usp=sharing"",""ปราจีนบุรี!J198"")+IMPORTRANGE(""https://docs.googl"&amp;"e.com/spreadsheets/d/1BIDqLLg5jk3v59G8NlR8rk5xfQDKne0sAvZHSj7TI6I/edit?usp=sharing"",""พระนครศรีอยุธยา!J198"")+IMPORTRANGE(""https://docs.google.com/spreadsheets/d/1YXvxf8Yu6_rV4hTBrwMqAcAnv6DfhUxh5emyM3CJp_w/edit?usp=sharing"",""เพชรบุรี!J198"")+IMPORTRA"&amp;"NGE(""https://docs.google.com/spreadsheets/d/19KBlQQs7uwvsao6t2n-KvW3Ax8J8uRRfZPq1zPbXgKc/edit?usp=sharing"",""ระยอง!J198"")+IMPORTRANGE(""https://docs.google.com/spreadsheets/d/1jQ6P4QcrGM89YfqcC_PxOHGCMq5ezhucwJd8ci-NHng/edit?usp=sharing"",""ราชบุรี!J19"&amp;"8"")+IMPORTRANGE(""https://docs.google.com/spreadsheets/d/1lufeA2cfFqM-elVq2hznhDzC6Pr7wkJ9ZG_sYNGCMCU/edit?usp=sharing"",""ลพบุรี!J198"")+IMPORTRANGE(""https://docs.google.com/spreadsheets/d/10oOiF7loTyfsTkbd4MpaIm0HQ9SwB7IYHdIUvt-U1Uc/edit?usp=sharing"""&amp;",""สระแก้ว!J198"")+IMPORTRANGE(""https://docs.google.com/spreadsheets/d/1xmPlrr1QbdSIKvl1dWUl9K4PjAfSL9oeMr_37QVzcxc/edit?usp=sharing"",""สระบุรี!J198"")+IMPORTRANGE(""https://docs.google.com/spreadsheets/d/1j51vR6CYVGhABJpv6tkstgok82RLpXieLzW1yOY5rHw/edi"&amp;"t?usp=sharing"",""สิงห์บุรี!J198"")+IMPORTRANGE(""https://docs.google.com/spreadsheets/d/1H1EalTWKUSzO4Z1-1CwzoDUaVffgrThEBe2sl74kKG0/edit?usp=sharing"",""สุพรรณบุรี!J198"")+IMPORTRANGE(""https://docs.google.com/spreadsheets/d/1BmIruG_sIrJLYao_Pdr7zVArWsf"&amp;"oBt2692TMi6x_854/edit?usp=sharing"",""อ่างทอง!J198"")"),9)</f>
        <v>9</v>
      </c>
      <c r="K198" s="59">
        <f ca="1">IF(I198&gt;0,J198*100/I198,0)</f>
        <v>10.714285714285714</v>
      </c>
      <c r="L198" s="58"/>
      <c r="M198" s="58"/>
      <c r="N198" s="58"/>
      <c r="O198" s="58"/>
      <c r="P198" s="58"/>
    </row>
    <row r="199" spans="1:16" ht="19.5" x14ac:dyDescent="0.3">
      <c r="A199" s="167"/>
      <c r="B199" s="168"/>
      <c r="C199" s="168"/>
      <c r="D199" s="195" t="s">
        <v>75</v>
      </c>
      <c r="E199" s="174"/>
      <c r="F199" s="174"/>
      <c r="G199" s="172"/>
      <c r="H199" s="292" t="s">
        <v>33</v>
      </c>
      <c r="I199" s="57"/>
      <c r="J199" s="176">
        <f ca="1">J200+J201</f>
        <v>290</v>
      </c>
      <c r="K199" s="58"/>
      <c r="L199" s="58"/>
      <c r="M199" s="58"/>
      <c r="N199" s="58"/>
      <c r="O199" s="58"/>
      <c r="P199" s="58"/>
    </row>
    <row r="200" spans="1:16" ht="18.75" x14ac:dyDescent="0.25">
      <c r="A200" s="167"/>
      <c r="B200" s="168"/>
      <c r="C200" s="168"/>
      <c r="D200" s="168"/>
      <c r="E200" s="195" t="s">
        <v>76</v>
      </c>
      <c r="F200" s="174"/>
      <c r="G200" s="172"/>
      <c r="H200" s="279" t="s">
        <v>33</v>
      </c>
      <c r="I200" s="57"/>
      <c r="J200" s="182">
        <f ca="1">IFERROR(__xludf.DUMMYFUNCTION("IMPORTRANGE(""https://docs.google.com/spreadsheets/d/13wPX838HrBrQMCywv1BsuMkt4PEKTChp52zj44s2izQ/edit?usp=sharing"",""กาญจนบุรี!J200"")+IMPORTRANGE(""https://docs.google.com/spreadsheets/d/1ddFKvqj1W1NEiWytbGlB1zMx_ykJDVtmfEQ-6-lIUBA/edit?usp=sharing"","&amp;"""จันทบุรี!J200"")+IMPORTRANGE(""https://docs.google.com/spreadsheets/d/1T1PQvRODqOBZk8BRht_U031fIS1beLA0Ub2CEytj2q0/edit?usp=sharing"",""ฉะเชิงเทรา!J200"")+IMPORTRANGE(""https://docs.google.com/spreadsheets/d/11tr1B-Bhyr79v2bkwVh5h_fR-PStkgjlZtkrZpYurG0/"&amp;"edit?usp=sharing"",""ชลบุรี!J200"")+IMPORTRANGE(""https://docs.google.com/spreadsheets/d/1hh-FVnSX0vozXhGluamEcS54Dw9_zqW0N7qJUWgJ0Sw/edit?usp=sharing"",""ชัยนาท!J200"")+IMPORTRANGE(""https://docs.google.com/spreadsheets/d/1jkqa6GXxSacMcY1eN8AHjMNJ_7dDXMJ"&amp;"VRLDlaFSOdPM/edit?usp=sharing"",""ตราด!J200"")+IMPORTRANGE(""https://docs.google.com/spreadsheets/d/18hSgUJ3VwClqi_qtULmmW3cLr0oe3OKaSYoKzdpTsYQ/edit?usp=sharing"",""นครนายก!J200"")+IMPORTRANGE(""https://docs.google.com/spreadsheets/d/1YTZo6WM2dQ6Ix6FSdnL"&amp;"5P7uVnVKu40sxZu975tgG10E/edit?usp=sharing"",""นครปฐม!J200"")+IMPORTRANGE(""https://docs.google.com/spreadsheets/d/1OYoGg4WDg5RIzwGeB10padOxJF9E_Vljuvvct_M7RDo/edit?usp=sharing"",""ปทุมธานี!J200"")+IMPORTRANGE(""https://docs.google.com/spreadsheets/d/1GbCI"&amp;"E4D4wk9FUozzqk7SxfDMxDVBwVmI5zcaVUSzKAc/edit?usp=sharing"",""ประจวบคีรีขันธ์!J200"")+IMPORTRANGE(""https://docs.google.com/spreadsheets/d/1vVf6wykvW_lAyu7Yo9L4hUTqHqIeP_qcVuxCtosJEbg/edit?usp=sharing"",""ปราจีนบุรี!J200"")+IMPORTRANGE(""https://docs.googl"&amp;"e.com/spreadsheets/d/1BIDqLLg5jk3v59G8NlR8rk5xfQDKne0sAvZHSj7TI6I/edit?usp=sharing"",""พระนครศรีอยุธยา!J200"")+IMPORTRANGE(""https://docs.google.com/spreadsheets/d/1YXvxf8Yu6_rV4hTBrwMqAcAnv6DfhUxh5emyM3CJp_w/edit?usp=sharing"",""เพชรบุรี!J200"")+IMPORTRA"&amp;"NGE(""https://docs.google.com/spreadsheets/d/19KBlQQs7uwvsao6t2n-KvW3Ax8J8uRRfZPq1zPbXgKc/edit?usp=sharing"",""ระยอง!J200"")+IMPORTRANGE(""https://docs.google.com/spreadsheets/d/1jQ6P4QcrGM89YfqcC_PxOHGCMq5ezhucwJd8ci-NHng/edit?usp=sharing"",""ราชบุรี!J20"&amp;"0"")+IMPORTRANGE(""https://docs.google.com/spreadsheets/d/1lufeA2cfFqM-elVq2hznhDzC6Pr7wkJ9ZG_sYNGCMCU/edit?usp=sharing"",""ลพบุรี!J200"")+IMPORTRANGE(""https://docs.google.com/spreadsheets/d/10oOiF7loTyfsTkbd4MpaIm0HQ9SwB7IYHdIUvt-U1Uc/edit?usp=sharing"""&amp;",""สระแก้ว!J200"")+IMPORTRANGE(""https://docs.google.com/spreadsheets/d/1xmPlrr1QbdSIKvl1dWUl9K4PjAfSL9oeMr_37QVzcxc/edit?usp=sharing"",""สระบุรี!J200"")+IMPORTRANGE(""https://docs.google.com/spreadsheets/d/1j51vR6CYVGhABJpv6tkstgok82RLpXieLzW1yOY5rHw/edi"&amp;"t?usp=sharing"",""สิงห์บุรี!J200"")+IMPORTRANGE(""https://docs.google.com/spreadsheets/d/1H1EalTWKUSzO4Z1-1CwzoDUaVffgrThEBe2sl74kKG0/edit?usp=sharing"",""สุพรรณบุรี!J200"")+IMPORTRANGE(""https://docs.google.com/spreadsheets/d/1BmIruG_sIrJLYao_Pdr7zVArWsf"&amp;"oBt2692TMi6x_854/edit?usp=sharing"",""อ่างทอง!J200"")"),290)</f>
        <v>290</v>
      </c>
      <c r="K200" s="58"/>
      <c r="L200" s="58"/>
      <c r="M200" s="58"/>
      <c r="N200" s="58"/>
      <c r="O200" s="58"/>
      <c r="P200" s="58"/>
    </row>
    <row r="201" spans="1:16" ht="18.75" x14ac:dyDescent="0.25">
      <c r="A201" s="167"/>
      <c r="B201" s="168"/>
      <c r="C201" s="168"/>
      <c r="D201" s="168"/>
      <c r="E201" s="195" t="s">
        <v>77</v>
      </c>
      <c r="F201" s="174"/>
      <c r="G201" s="172"/>
      <c r="H201" s="279" t="s">
        <v>33</v>
      </c>
      <c r="I201" s="57"/>
      <c r="J201" s="182">
        <f ca="1">IFERROR(__xludf.DUMMYFUNCTION("IMPORTRANGE(""https://docs.google.com/spreadsheets/d/13wPX838HrBrQMCywv1BsuMkt4PEKTChp52zj44s2izQ/edit?usp=sharing"",""กาญจนบุรี!J201"")+IMPORTRANGE(""https://docs.google.com/spreadsheets/d/1ddFKvqj1W1NEiWytbGlB1zMx_ykJDVtmfEQ-6-lIUBA/edit?usp=sharing"","&amp;"""จันทบุรี!J201"")+IMPORTRANGE(""https://docs.google.com/spreadsheets/d/1T1PQvRODqOBZk8BRht_U031fIS1beLA0Ub2CEytj2q0/edit?usp=sharing"",""ฉะเชิงเทรา!J201"")+IMPORTRANGE(""https://docs.google.com/spreadsheets/d/11tr1B-Bhyr79v2bkwVh5h_fR-PStkgjlZtkrZpYurG0/"&amp;"edit?usp=sharing"",""ชลบุรี!J201"")+IMPORTRANGE(""https://docs.google.com/spreadsheets/d/1hh-FVnSX0vozXhGluamEcS54Dw9_zqW0N7qJUWgJ0Sw/edit?usp=sharing"",""ชัยนาท!J201"")+IMPORTRANGE(""https://docs.google.com/spreadsheets/d/1jkqa6GXxSacMcY1eN8AHjMNJ_7dDXMJ"&amp;"VRLDlaFSOdPM/edit?usp=sharing"",""ตราด!J201"")+IMPORTRANGE(""https://docs.google.com/spreadsheets/d/18hSgUJ3VwClqi_qtULmmW3cLr0oe3OKaSYoKzdpTsYQ/edit?usp=sharing"",""นครนายก!J201"")+IMPORTRANGE(""https://docs.google.com/spreadsheets/d/1YTZo6WM2dQ6Ix6FSdnL"&amp;"5P7uVnVKu40sxZu975tgG10E/edit?usp=sharing"",""นครปฐม!J201"")+IMPORTRANGE(""https://docs.google.com/spreadsheets/d/1OYoGg4WDg5RIzwGeB10padOxJF9E_Vljuvvct_M7RDo/edit?usp=sharing"",""ปทุมธานี!J201"")+IMPORTRANGE(""https://docs.google.com/spreadsheets/d/1GbCI"&amp;"E4D4wk9FUozzqk7SxfDMxDVBwVmI5zcaVUSzKAc/edit?usp=sharing"",""ประจวบคีรีขันธ์!J201"")+IMPORTRANGE(""https://docs.google.com/spreadsheets/d/1vVf6wykvW_lAyu7Yo9L4hUTqHqIeP_qcVuxCtosJEbg/edit?usp=sharing"",""ปราจีนบุรี!J201"")+IMPORTRANGE(""https://docs.googl"&amp;"e.com/spreadsheets/d/1BIDqLLg5jk3v59G8NlR8rk5xfQDKne0sAvZHSj7TI6I/edit?usp=sharing"",""พระนครศรีอยุธยา!J201"")+IMPORTRANGE(""https://docs.google.com/spreadsheets/d/1YXvxf8Yu6_rV4hTBrwMqAcAnv6DfhUxh5emyM3CJp_w/edit?usp=sharing"",""เพชรบุรี!J201"")+IMPORTRA"&amp;"NGE(""https://docs.google.com/spreadsheets/d/19KBlQQs7uwvsao6t2n-KvW3Ax8J8uRRfZPq1zPbXgKc/edit?usp=sharing"",""ระยอง!J201"")+IMPORTRANGE(""https://docs.google.com/spreadsheets/d/1jQ6P4QcrGM89YfqcC_PxOHGCMq5ezhucwJd8ci-NHng/edit?usp=sharing"",""ราชบุรี!J20"&amp;"1"")+IMPORTRANGE(""https://docs.google.com/spreadsheets/d/1lufeA2cfFqM-elVq2hznhDzC6Pr7wkJ9ZG_sYNGCMCU/edit?usp=sharing"",""ลพบุรี!J201"")+IMPORTRANGE(""https://docs.google.com/spreadsheets/d/10oOiF7loTyfsTkbd4MpaIm0HQ9SwB7IYHdIUvt-U1Uc/edit?usp=sharing"""&amp;",""สระแก้ว!J201"")+IMPORTRANGE(""https://docs.google.com/spreadsheets/d/1xmPlrr1QbdSIKvl1dWUl9K4PjAfSL9oeMr_37QVzcxc/edit?usp=sharing"",""สระบุรี!J201"")+IMPORTRANGE(""https://docs.google.com/spreadsheets/d/1j51vR6CYVGhABJpv6tkstgok82RLpXieLzW1yOY5rHw/edi"&amp;"t?usp=sharing"",""สิงห์บุรี!J201"")+IMPORTRANGE(""https://docs.google.com/spreadsheets/d/1H1EalTWKUSzO4Z1-1CwzoDUaVffgrThEBe2sl74kKG0/edit?usp=sharing"",""สุพรรณบุรี!J201"")+IMPORTRANGE(""https://docs.google.com/spreadsheets/d/1BmIruG_sIrJLYao_Pdr7zVArWsf"&amp;"oBt2692TMi6x_854/edit?usp=sharing"",""อ่างทอง!J201"")"),0)</f>
        <v>0</v>
      </c>
      <c r="K201" s="58"/>
      <c r="L201" s="58"/>
      <c r="M201" s="58"/>
      <c r="N201" s="58"/>
      <c r="O201" s="58"/>
      <c r="P201" s="58"/>
    </row>
    <row r="202" spans="1:16" ht="19.5" x14ac:dyDescent="0.3">
      <c r="A202" s="281"/>
      <c r="B202" s="282"/>
      <c r="C202" s="283" t="s">
        <v>78</v>
      </c>
      <c r="D202" s="284"/>
      <c r="E202" s="284"/>
      <c r="F202" s="284"/>
      <c r="G202" s="285"/>
      <c r="H202" s="293" t="s">
        <v>79</v>
      </c>
      <c r="I202" s="287">
        <f t="shared" ref="I202:J202" ca="1" si="100">I209</f>
        <v>30</v>
      </c>
      <c r="J202" s="287">
        <f t="shared" ca="1" si="100"/>
        <v>3</v>
      </c>
      <c r="K202" s="288">
        <f ca="1">IF(I202&gt;0,J202*100/I202,0)</f>
        <v>10</v>
      </c>
      <c r="L202" s="289"/>
      <c r="M202" s="289"/>
      <c r="N202" s="289"/>
      <c r="O202" s="289"/>
      <c r="P202" s="289"/>
    </row>
    <row r="203" spans="1:16" ht="19.5" x14ac:dyDescent="0.3">
      <c r="A203" s="157"/>
      <c r="B203" s="53"/>
      <c r="C203" s="158" t="s">
        <v>16</v>
      </c>
      <c r="D203" s="290" t="s">
        <v>17</v>
      </c>
      <c r="E203" s="53"/>
      <c r="F203" s="53"/>
      <c r="G203" s="55"/>
      <c r="H203" s="291" t="s">
        <v>12</v>
      </c>
      <c r="I203" s="164"/>
      <c r="J203" s="164"/>
      <c r="K203" s="165"/>
      <c r="L203" s="161">
        <f ca="1">L204+L205+L206+L207</f>
        <v>403000</v>
      </c>
      <c r="M203" s="58"/>
      <c r="N203" s="161">
        <f ca="1">N204+N205+N206+N207</f>
        <v>38707</v>
      </c>
      <c r="O203" s="161">
        <f ca="1">IF(L203&gt;0,N203*100/L203,0)</f>
        <v>9.6047146401985106</v>
      </c>
      <c r="P203" s="161"/>
    </row>
    <row r="204" spans="1:16" ht="18.75" x14ac:dyDescent="0.25">
      <c r="A204" s="157"/>
      <c r="B204" s="280"/>
      <c r="C204" s="53"/>
      <c r="D204" s="294" t="s">
        <v>80</v>
      </c>
      <c r="E204" s="53"/>
      <c r="F204" s="53"/>
      <c r="G204" s="55"/>
      <c r="H204" s="163" t="s">
        <v>12</v>
      </c>
      <c r="I204" s="164"/>
      <c r="J204" s="164"/>
      <c r="K204" s="165"/>
      <c r="L204" s="59">
        <f ca="1">IFERROR(__xludf.DUMMYFUNCTION("IMPORTRANGE(""https://docs.google.com/spreadsheets/d/13wPX838HrBrQMCywv1BsuMkt4PEKTChp52zj44s2izQ/edit?usp=sharing"",""กาญจนบุรี!L204"")+IMPORTRANGE(""https://docs.google.com/spreadsheets/d/1ddFKvqj1W1NEiWytbGlB1zMx_ykJDVtmfEQ-6-lIUBA/edit?usp=sharing"","&amp;"""จันทบุรี!L204"")+IMPORTRANGE(""https://docs.google.com/spreadsheets/d/1T1PQvRODqOBZk8BRht_U031fIS1beLA0Ub2CEytj2q0/edit?usp=sharing"",""ฉะเชิงเทรา!L204"")+IMPORTRANGE(""https://docs.google.com/spreadsheets/d/11tr1B-Bhyr79v2bkwVh5h_fR-PStkgjlZtkrZpYurG0/"&amp;"edit?usp=sharing"",""ชลบุรี!L204"")+IMPORTRANGE(""https://docs.google.com/spreadsheets/d/1hh-FVnSX0vozXhGluamEcS54Dw9_zqW0N7qJUWgJ0Sw/edit?usp=sharing"",""ชัยนาท!L204"")+IMPORTRANGE(""https://docs.google.com/spreadsheets/d/1jkqa6GXxSacMcY1eN8AHjMNJ_7dDXMJ"&amp;"VRLDlaFSOdPM/edit?usp=sharing"",""ตราด!L204"")+IMPORTRANGE(""https://docs.google.com/spreadsheets/d/18hSgUJ3VwClqi_qtULmmW3cLr0oe3OKaSYoKzdpTsYQ/edit?usp=sharing"",""นครนายก!L204"")+IMPORTRANGE(""https://docs.google.com/spreadsheets/d/1YTZo6WM2dQ6Ix6FSdnL"&amp;"5P7uVnVKu40sxZu975tgG10E/edit?usp=sharing"",""นครปฐม!L204"")+IMPORTRANGE(""https://docs.google.com/spreadsheets/d/1OYoGg4WDg5RIzwGeB10padOxJF9E_Vljuvvct_M7RDo/edit?usp=sharing"",""ปทุมธานี!L204"")+IMPORTRANGE(""https://docs.google.com/spreadsheets/d/1GbCI"&amp;"E4D4wk9FUozzqk7SxfDMxDVBwVmI5zcaVUSzKAc/edit?usp=sharing"",""ประจวบคีรีขันธ์!L204"")+IMPORTRANGE(""https://docs.google.com/spreadsheets/d/1vVf6wykvW_lAyu7Yo9L4hUTqHqIeP_qcVuxCtosJEbg/edit?usp=sharing"",""ปราจีนบุรี!L204"")+IMPORTRANGE(""https://docs.googl"&amp;"e.com/spreadsheets/d/1BIDqLLg5jk3v59G8NlR8rk5xfQDKne0sAvZHSj7TI6I/edit?usp=sharing"",""พระนครศรีอยุธยา!L204"")+IMPORTRANGE(""https://docs.google.com/spreadsheets/d/1YXvxf8Yu6_rV4hTBrwMqAcAnv6DfhUxh5emyM3CJp_w/edit?usp=sharing"",""เพชรบุรี!L204"")+IMPORTRA"&amp;"NGE(""https://docs.google.com/spreadsheets/d/19KBlQQs7uwvsao6t2n-KvW3Ax8J8uRRfZPq1zPbXgKc/edit?usp=sharing"",""ระยอง!L204"")+IMPORTRANGE(""https://docs.google.com/spreadsheets/d/1jQ6P4QcrGM89YfqcC_PxOHGCMq5ezhucwJd8ci-NHng/edit?usp=sharing"",""ราชบุรี!L20"&amp;"4"")+IMPORTRANGE(""https://docs.google.com/spreadsheets/d/1lufeA2cfFqM-elVq2hznhDzC6Pr7wkJ9ZG_sYNGCMCU/edit?usp=sharing"",""ลพบุรี!L204"")+IMPORTRANGE(""https://docs.google.com/spreadsheets/d/10oOiF7loTyfsTkbd4MpaIm0HQ9SwB7IYHdIUvt-U1Uc/edit?usp=sharing"""&amp;",""สระแก้ว!L204"")+IMPORTRANGE(""https://docs.google.com/spreadsheets/d/1xmPlrr1QbdSIKvl1dWUl9K4PjAfSL9oeMr_37QVzcxc/edit?usp=sharing"",""สระบุรี!L204"")+IMPORTRANGE(""https://docs.google.com/spreadsheets/d/1j51vR6CYVGhABJpv6tkstgok82RLpXieLzW1yOY5rHw/edi"&amp;"t?usp=sharing"",""สิงห์บุรี!L204"")+IMPORTRANGE(""https://docs.google.com/spreadsheets/d/1H1EalTWKUSzO4Z1-1CwzoDUaVffgrThEBe2sl74kKG0/edit?usp=sharing"",""สุพรรณบุรี!L204"")+IMPORTRANGE(""https://docs.google.com/spreadsheets/d/1BmIruG_sIrJLYao_Pdr7zVArWsf"&amp;"oBt2692TMi6x_854/edit?usp=sharing"",""อ่างทอง!L204"")"),30000)</f>
        <v>30000</v>
      </c>
      <c r="M204" s="58"/>
      <c r="N204" s="59">
        <f ca="1">IFERROR(__xludf.DUMMYFUNCTION("IMPORTRANGE(""https://docs.google.com/spreadsheets/d/13wPX838HrBrQMCywv1BsuMkt4PEKTChp52zj44s2izQ/edit?usp=sharing"",""กาญจนบุรี!N204"")+IMPORTRANGE(""https://docs.google.com/spreadsheets/d/1ddFKvqj1W1NEiWytbGlB1zMx_ykJDVtmfEQ-6-lIUBA/edit?usp=sharing"","&amp;"""จันทบุรี!N204"")+IMPORTRANGE(""https://docs.google.com/spreadsheets/d/1T1PQvRODqOBZk8BRht_U031fIS1beLA0Ub2CEytj2q0/edit?usp=sharing"",""ฉะเชิงเทรา!N204"")+IMPORTRANGE(""https://docs.google.com/spreadsheets/d/11tr1B-Bhyr79v2bkwVh5h_fR-PStkgjlZtkrZpYurG0/"&amp;"edit?usp=sharing"",""ชลบุรี!N204"")+IMPORTRANGE(""https://docs.google.com/spreadsheets/d/1hh-FVnSX0vozXhGluamEcS54Dw9_zqW0N7qJUWgJ0Sw/edit?usp=sharing"",""ชัยนาท!N204"")+IMPORTRANGE(""https://docs.google.com/spreadsheets/d/1jkqa6GXxSacMcY1eN8AHjMNJ_7dDXMJ"&amp;"VRLDlaFSOdPM/edit?usp=sharing"",""ตราด!N204"")+IMPORTRANGE(""https://docs.google.com/spreadsheets/d/18hSgUJ3VwClqi_qtULmmW3cLr0oe3OKaSYoKzdpTsYQ/edit?usp=sharing"",""นครนายก!N204"")+IMPORTRANGE(""https://docs.google.com/spreadsheets/d/1YTZo6WM2dQ6Ix6FSdnL"&amp;"5P7uVnVKu40sxZu975tgG10E/edit?usp=sharing"",""นครปฐม!N204"")+IMPORTRANGE(""https://docs.google.com/spreadsheets/d/1OYoGg4WDg5RIzwGeB10padOxJF9E_Vljuvvct_M7RDo/edit?usp=sharing"",""ปทุมธานี!N204"")+IMPORTRANGE(""https://docs.google.com/spreadsheets/d/1GbCI"&amp;"E4D4wk9FUozzqk7SxfDMxDVBwVmI5zcaVUSzKAc/edit?usp=sharing"",""ประจวบคีรีขันธ์!N204"")+IMPORTRANGE(""https://docs.google.com/spreadsheets/d/1vVf6wykvW_lAyu7Yo9L4hUTqHqIeP_qcVuxCtosJEbg/edit?usp=sharing"",""ปราจีนบุรี!N204"")+IMPORTRANGE(""https://docs.googl"&amp;"e.com/spreadsheets/d/1BIDqLLg5jk3v59G8NlR8rk5xfQDKne0sAvZHSj7TI6I/edit?usp=sharing"",""พระนครศรีอยุธยา!N204"")+IMPORTRANGE(""https://docs.google.com/spreadsheets/d/1YXvxf8Yu6_rV4hTBrwMqAcAnv6DfhUxh5emyM3CJp_w/edit?usp=sharing"",""เพชรบุรี!N204"")+IMPORTRA"&amp;"NGE(""https://docs.google.com/spreadsheets/d/19KBlQQs7uwvsao6t2n-KvW3Ax8J8uRRfZPq1zPbXgKc/edit?usp=sharing"",""ระยอง!N204"")+IMPORTRANGE(""https://docs.google.com/spreadsheets/d/1jQ6P4QcrGM89YfqcC_PxOHGCMq5ezhucwJd8ci-NHng/edit?usp=sharing"",""ราชบุรี!N20"&amp;"4"")+IMPORTRANGE(""https://docs.google.com/spreadsheets/d/1lufeA2cfFqM-elVq2hznhDzC6Pr7wkJ9ZG_sYNGCMCU/edit?usp=sharing"",""ลพบุรี!N204"")+IMPORTRANGE(""https://docs.google.com/spreadsheets/d/10oOiF7loTyfsTkbd4MpaIm0HQ9SwB7IYHdIUvt-U1Uc/edit?usp=sharing"""&amp;",""สระแก้ว!N204"")+IMPORTRANGE(""https://docs.google.com/spreadsheets/d/1xmPlrr1QbdSIKvl1dWUl9K4PjAfSL9oeMr_37QVzcxc/edit?usp=sharing"",""สระบุรี!N204"")+IMPORTRANGE(""https://docs.google.com/spreadsheets/d/1j51vR6CYVGhABJpv6tkstgok82RLpXieLzW1yOY5rHw/edi"&amp;"t?usp=sharing"",""สิงห์บุรี!N204"")+IMPORTRANGE(""https://docs.google.com/spreadsheets/d/1H1EalTWKUSzO4Z1-1CwzoDUaVffgrThEBe2sl74kKG0/edit?usp=sharing"",""สุพรรณบุรี!N204"")+IMPORTRANGE(""https://docs.google.com/spreadsheets/d/1BmIruG_sIrJLYao_Pdr7zVArWsf"&amp;"oBt2692TMi6x_854/edit?usp=sharing"",""อ่างทอง!N204"")"),1960)</f>
        <v>1960</v>
      </c>
      <c r="O204" s="183"/>
      <c r="P204" s="58"/>
    </row>
    <row r="205" spans="1:16" ht="18.75" x14ac:dyDescent="0.25">
      <c r="A205" s="276"/>
      <c r="B205" s="280"/>
      <c r="C205" s="53"/>
      <c r="D205" s="295" t="s">
        <v>81</v>
      </c>
      <c r="E205" s="53"/>
      <c r="F205" s="53"/>
      <c r="G205" s="55"/>
      <c r="H205" s="56" t="s">
        <v>12</v>
      </c>
      <c r="I205" s="57"/>
      <c r="J205" s="57"/>
      <c r="K205" s="58"/>
      <c r="L205" s="61">
        <v>0</v>
      </c>
      <c r="M205" s="58"/>
      <c r="N205" s="61">
        <v>0</v>
      </c>
      <c r="O205" s="183"/>
      <c r="P205" s="58"/>
    </row>
    <row r="206" spans="1:16" ht="18.75" x14ac:dyDescent="0.25">
      <c r="A206" s="276"/>
      <c r="B206" s="280"/>
      <c r="C206" s="53"/>
      <c r="D206" s="295" t="s">
        <v>82</v>
      </c>
      <c r="E206" s="53"/>
      <c r="F206" s="53"/>
      <c r="G206" s="55"/>
      <c r="H206" s="56" t="s">
        <v>12</v>
      </c>
      <c r="I206" s="57"/>
      <c r="J206" s="57"/>
      <c r="K206" s="58"/>
      <c r="L206" s="59">
        <f ca="1">IFERROR(__xludf.DUMMYFUNCTION("IMPORTRANGE(""https://docs.google.com/spreadsheets/d/13wPX838HrBrQMCywv1BsuMkt4PEKTChp52zj44s2izQ/edit?usp=sharing"",""กาญจนบุรี!L206"")+IMPORTRANGE(""https://docs.google.com/spreadsheets/d/1ddFKvqj1W1NEiWytbGlB1zMx_ykJDVtmfEQ-6-lIUBA/edit?usp=sharing"","&amp;"""จันทบุรี!L206"")+IMPORTRANGE(""https://docs.google.com/spreadsheets/d/1T1PQvRODqOBZk8BRht_U031fIS1beLA0Ub2CEytj2q0/edit?usp=sharing"",""ฉะเชิงเทรา!L206"")+IMPORTRANGE(""https://docs.google.com/spreadsheets/d/11tr1B-Bhyr79v2bkwVh5h_fR-PStkgjlZtkrZpYurG0/"&amp;"edit?usp=sharing"",""ชลบุรี!L206"")+IMPORTRANGE(""https://docs.google.com/spreadsheets/d/1hh-FVnSX0vozXhGluamEcS54Dw9_zqW0N7qJUWgJ0Sw/edit?usp=sharing"",""ชัยนาท!L206"")+IMPORTRANGE(""https://docs.google.com/spreadsheets/d/1jkqa6GXxSacMcY1eN8AHjMNJ_7dDXMJ"&amp;"VRLDlaFSOdPM/edit?usp=sharing"",""ตราด!L206"")+IMPORTRANGE(""https://docs.google.com/spreadsheets/d/18hSgUJ3VwClqi_qtULmmW3cLr0oe3OKaSYoKzdpTsYQ/edit?usp=sharing"",""นครนายก!L206"")+IMPORTRANGE(""https://docs.google.com/spreadsheets/d/1YTZo6WM2dQ6Ix6FSdnL"&amp;"5P7uVnVKu40sxZu975tgG10E/edit?usp=sharing"",""นครปฐม!L206"")+IMPORTRANGE(""https://docs.google.com/spreadsheets/d/1OYoGg4WDg5RIzwGeB10padOxJF9E_Vljuvvct_M7RDo/edit?usp=sharing"",""ปทุมธานี!L206"")+IMPORTRANGE(""https://docs.google.com/spreadsheets/d/1GbCI"&amp;"E4D4wk9FUozzqk7SxfDMxDVBwVmI5zcaVUSzKAc/edit?usp=sharing"",""ประจวบคีรีขันธ์!L206"")+IMPORTRANGE(""https://docs.google.com/spreadsheets/d/1vVf6wykvW_lAyu7Yo9L4hUTqHqIeP_qcVuxCtosJEbg/edit?usp=sharing"",""ปราจีนบุรี!L206"")+IMPORTRANGE(""https://docs.googl"&amp;"e.com/spreadsheets/d/1BIDqLLg5jk3v59G8NlR8rk5xfQDKne0sAvZHSj7TI6I/edit?usp=sharing"",""พระนครศรีอยุธยา!L206"")+IMPORTRANGE(""https://docs.google.com/spreadsheets/d/1YXvxf8Yu6_rV4hTBrwMqAcAnv6DfhUxh5emyM3CJp_w/edit?usp=sharing"",""เพชรบุรี!L206"")+IMPORTRA"&amp;"NGE(""https://docs.google.com/spreadsheets/d/19KBlQQs7uwvsao6t2n-KvW3Ax8J8uRRfZPq1zPbXgKc/edit?usp=sharing"",""ระยอง!L206"")+IMPORTRANGE(""https://docs.google.com/spreadsheets/d/1jQ6P4QcrGM89YfqcC_PxOHGCMq5ezhucwJd8ci-NHng/edit?usp=sharing"",""ราชบุรี!L20"&amp;"6"")+IMPORTRANGE(""https://docs.google.com/spreadsheets/d/1lufeA2cfFqM-elVq2hznhDzC6Pr7wkJ9ZG_sYNGCMCU/edit?usp=sharing"",""ลพบุรี!L206"")+IMPORTRANGE(""https://docs.google.com/spreadsheets/d/10oOiF7loTyfsTkbd4MpaIm0HQ9SwB7IYHdIUvt-U1Uc/edit?usp=sharing"""&amp;",""สระแก้ว!L206"")+IMPORTRANGE(""https://docs.google.com/spreadsheets/d/1xmPlrr1QbdSIKvl1dWUl9K4PjAfSL9oeMr_37QVzcxc/edit?usp=sharing"",""สระบุรี!L206"")+IMPORTRANGE(""https://docs.google.com/spreadsheets/d/1j51vR6CYVGhABJpv6tkstgok82RLpXieLzW1yOY5rHw/edi"&amp;"t?usp=sharing"",""สิงห์บุรี!L206"")+IMPORTRANGE(""https://docs.google.com/spreadsheets/d/1H1EalTWKUSzO4Z1-1CwzoDUaVffgrThEBe2sl74kKG0/edit?usp=sharing"",""สุพรรณบุรี!L206"")+IMPORTRANGE(""https://docs.google.com/spreadsheets/d/1BmIruG_sIrJLYao_Pdr7zVArWsf"&amp;"oBt2692TMi6x_854/edit?usp=sharing"",""อ่างทอง!L206"")"),240000)</f>
        <v>240000</v>
      </c>
      <c r="M206" s="58"/>
      <c r="N206" s="59">
        <f ca="1">IFERROR(__xludf.DUMMYFUNCTION("IMPORTRANGE(""https://docs.google.com/spreadsheets/d/13wPX838HrBrQMCywv1BsuMkt4PEKTChp52zj44s2izQ/edit?usp=sharing"",""กาญจนบุรี!N206"")+IMPORTRANGE(""https://docs.google.com/spreadsheets/d/1ddFKvqj1W1NEiWytbGlB1zMx_ykJDVtmfEQ-6-lIUBA/edit?usp=sharing"","&amp;"""จันทบุรี!N206"")+IMPORTRANGE(""https://docs.google.com/spreadsheets/d/1T1PQvRODqOBZk8BRht_U031fIS1beLA0Ub2CEytj2q0/edit?usp=sharing"",""ฉะเชิงเทรา!N206"")+IMPORTRANGE(""https://docs.google.com/spreadsheets/d/11tr1B-Bhyr79v2bkwVh5h_fR-PStkgjlZtkrZpYurG0/"&amp;"edit?usp=sharing"",""ชลบุรี!N206"")+IMPORTRANGE(""https://docs.google.com/spreadsheets/d/1hh-FVnSX0vozXhGluamEcS54Dw9_zqW0N7qJUWgJ0Sw/edit?usp=sharing"",""ชัยนาท!N206"")+IMPORTRANGE(""https://docs.google.com/spreadsheets/d/1jkqa6GXxSacMcY1eN8AHjMNJ_7dDXMJ"&amp;"VRLDlaFSOdPM/edit?usp=sharing"",""ตราด!N206"")+IMPORTRANGE(""https://docs.google.com/spreadsheets/d/18hSgUJ3VwClqi_qtULmmW3cLr0oe3OKaSYoKzdpTsYQ/edit?usp=sharing"",""นครนายก!N206"")+IMPORTRANGE(""https://docs.google.com/spreadsheets/d/1YTZo6WM2dQ6Ix6FSdnL"&amp;"5P7uVnVKu40sxZu975tgG10E/edit?usp=sharing"",""นครปฐม!N206"")+IMPORTRANGE(""https://docs.google.com/spreadsheets/d/1OYoGg4WDg5RIzwGeB10padOxJF9E_Vljuvvct_M7RDo/edit?usp=sharing"",""ปทุมธานี!N206"")+IMPORTRANGE(""https://docs.google.com/spreadsheets/d/1GbCI"&amp;"E4D4wk9FUozzqk7SxfDMxDVBwVmI5zcaVUSzKAc/edit?usp=sharing"",""ประจวบคีรีขันธ์!N206"")+IMPORTRANGE(""https://docs.google.com/spreadsheets/d/1vVf6wykvW_lAyu7Yo9L4hUTqHqIeP_qcVuxCtosJEbg/edit?usp=sharing"",""ปราจีนบุรี!N206"")+IMPORTRANGE(""https://docs.googl"&amp;"e.com/spreadsheets/d/1BIDqLLg5jk3v59G8NlR8rk5xfQDKne0sAvZHSj7TI6I/edit?usp=sharing"",""พระนครศรีอยุธยา!N206"")+IMPORTRANGE(""https://docs.google.com/spreadsheets/d/1YXvxf8Yu6_rV4hTBrwMqAcAnv6DfhUxh5emyM3CJp_w/edit?usp=sharing"",""เพชรบุรี!N206"")+IMPORTRA"&amp;"NGE(""https://docs.google.com/spreadsheets/d/19KBlQQs7uwvsao6t2n-KvW3Ax8J8uRRfZPq1zPbXgKc/edit?usp=sharing"",""ระยอง!N206"")+IMPORTRANGE(""https://docs.google.com/spreadsheets/d/1jQ6P4QcrGM89YfqcC_PxOHGCMq5ezhucwJd8ci-NHng/edit?usp=sharing"",""ราชบุรี!N20"&amp;"6"")+IMPORTRANGE(""https://docs.google.com/spreadsheets/d/1lufeA2cfFqM-elVq2hznhDzC6Pr7wkJ9ZG_sYNGCMCU/edit?usp=sharing"",""ลพบุรี!N206"")+IMPORTRANGE(""https://docs.google.com/spreadsheets/d/10oOiF7loTyfsTkbd4MpaIm0HQ9SwB7IYHdIUvt-U1Uc/edit?usp=sharing"""&amp;",""สระแก้ว!N206"")+IMPORTRANGE(""https://docs.google.com/spreadsheets/d/1xmPlrr1QbdSIKvl1dWUl9K4PjAfSL9oeMr_37QVzcxc/edit?usp=sharing"",""สระบุรี!N206"")+IMPORTRANGE(""https://docs.google.com/spreadsheets/d/1j51vR6CYVGhABJpv6tkstgok82RLpXieLzW1yOY5rHw/edi"&amp;"t?usp=sharing"",""สิงห์บุรี!N206"")+IMPORTRANGE(""https://docs.google.com/spreadsheets/d/1H1EalTWKUSzO4Z1-1CwzoDUaVffgrThEBe2sl74kKG0/edit?usp=sharing"",""สุพรรณบุรี!N206"")+IMPORTRANGE(""https://docs.google.com/spreadsheets/d/1BmIruG_sIrJLYao_Pdr7zVArWsf"&amp;"oBt2692TMi6x_854/edit?usp=sharing"",""อ่างทอง!N206"")"),36747)</f>
        <v>36747</v>
      </c>
      <c r="O206" s="183"/>
      <c r="P206" s="58"/>
    </row>
    <row r="207" spans="1:16" ht="18.75" x14ac:dyDescent="0.25">
      <c r="A207" s="276"/>
      <c r="B207" s="280"/>
      <c r="C207" s="53"/>
      <c r="D207" s="295" t="s">
        <v>83</v>
      </c>
      <c r="E207" s="53"/>
      <c r="F207" s="53"/>
      <c r="G207" s="55"/>
      <c r="H207" s="56" t="s">
        <v>12</v>
      </c>
      <c r="I207" s="57"/>
      <c r="J207" s="57"/>
      <c r="K207" s="58"/>
      <c r="L207" s="59">
        <f ca="1">IFERROR(__xludf.DUMMYFUNCTION("IMPORTRANGE(""https://docs.google.com/spreadsheets/d/13wPX838HrBrQMCywv1BsuMkt4PEKTChp52zj44s2izQ/edit?usp=sharing"",""กาญจนบุรี!L207"")+IMPORTRANGE(""https://docs.google.com/spreadsheets/d/1ddFKvqj1W1NEiWytbGlB1zMx_ykJDVtmfEQ-6-lIUBA/edit?usp=sharing"","&amp;"""จันทบุรี!L207"")+IMPORTRANGE(""https://docs.google.com/spreadsheets/d/1T1PQvRODqOBZk8BRht_U031fIS1beLA0Ub2CEytj2q0/edit?usp=sharing"",""ฉะเชิงเทรา!L207"")+IMPORTRANGE(""https://docs.google.com/spreadsheets/d/11tr1B-Bhyr79v2bkwVh5h_fR-PStkgjlZtkrZpYurG0/"&amp;"edit?usp=sharing"",""ชลบุรี!L207"")+IMPORTRANGE(""https://docs.google.com/spreadsheets/d/1hh-FVnSX0vozXhGluamEcS54Dw9_zqW0N7qJUWgJ0Sw/edit?usp=sharing"",""ชัยนาท!L207"")+IMPORTRANGE(""https://docs.google.com/spreadsheets/d/1jkqa6GXxSacMcY1eN8AHjMNJ_7dDXMJ"&amp;"VRLDlaFSOdPM/edit?usp=sharing"",""ตราด!L207"")+IMPORTRANGE(""https://docs.google.com/spreadsheets/d/18hSgUJ3VwClqi_qtULmmW3cLr0oe3OKaSYoKzdpTsYQ/edit?usp=sharing"",""นครนายก!L207"")+IMPORTRANGE(""https://docs.google.com/spreadsheets/d/1YTZo6WM2dQ6Ix6FSdnL"&amp;"5P7uVnVKu40sxZu975tgG10E/edit?usp=sharing"",""นครปฐม!L207"")+IMPORTRANGE(""https://docs.google.com/spreadsheets/d/1OYoGg4WDg5RIzwGeB10padOxJF9E_Vljuvvct_M7RDo/edit?usp=sharing"",""ปทุมธานี!L207"")+IMPORTRANGE(""https://docs.google.com/spreadsheets/d/1GbCI"&amp;"E4D4wk9FUozzqk7SxfDMxDVBwVmI5zcaVUSzKAc/edit?usp=sharing"",""ประจวบคีรีขันธ์!L207"")+IMPORTRANGE(""https://docs.google.com/spreadsheets/d/1vVf6wykvW_lAyu7Yo9L4hUTqHqIeP_qcVuxCtosJEbg/edit?usp=sharing"",""ปราจีนบุรี!L207"")+IMPORTRANGE(""https://docs.googl"&amp;"e.com/spreadsheets/d/1BIDqLLg5jk3v59G8NlR8rk5xfQDKne0sAvZHSj7TI6I/edit?usp=sharing"",""พระนครศรีอยุธยา!L207"")+IMPORTRANGE(""https://docs.google.com/spreadsheets/d/1YXvxf8Yu6_rV4hTBrwMqAcAnv6DfhUxh5emyM3CJp_w/edit?usp=sharing"",""เพชรบุรี!L207"")+IMPORTRA"&amp;"NGE(""https://docs.google.com/spreadsheets/d/19KBlQQs7uwvsao6t2n-KvW3Ax8J8uRRfZPq1zPbXgKc/edit?usp=sharing"",""ระยอง!L207"")+IMPORTRANGE(""https://docs.google.com/spreadsheets/d/1jQ6P4QcrGM89YfqcC_PxOHGCMq5ezhucwJd8ci-NHng/edit?usp=sharing"",""ราชบุรี!L20"&amp;"7"")+IMPORTRANGE(""https://docs.google.com/spreadsheets/d/1lufeA2cfFqM-elVq2hznhDzC6Pr7wkJ9ZG_sYNGCMCU/edit?usp=sharing"",""ลพบุรี!L207"")+IMPORTRANGE(""https://docs.google.com/spreadsheets/d/10oOiF7loTyfsTkbd4MpaIm0HQ9SwB7IYHdIUvt-U1Uc/edit?usp=sharing"""&amp;",""สระแก้ว!L207"")+IMPORTRANGE(""https://docs.google.com/spreadsheets/d/1xmPlrr1QbdSIKvl1dWUl9K4PjAfSL9oeMr_37QVzcxc/edit?usp=sharing"",""สระบุรี!L207"")+IMPORTRANGE(""https://docs.google.com/spreadsheets/d/1j51vR6CYVGhABJpv6tkstgok82RLpXieLzW1yOY5rHw/edi"&amp;"t?usp=sharing"",""สิงห์บุรี!L207"")+IMPORTRANGE(""https://docs.google.com/spreadsheets/d/1H1EalTWKUSzO4Z1-1CwzoDUaVffgrThEBe2sl74kKG0/edit?usp=sharing"",""สุพรรณบุรี!L207"")+IMPORTRANGE(""https://docs.google.com/spreadsheets/d/1BmIruG_sIrJLYao_Pdr7zVArWsf"&amp;"oBt2692TMi6x_854/edit?usp=sharing"",""อ่างทอง!L207"")"),133000)</f>
        <v>133000</v>
      </c>
      <c r="M207" s="58"/>
      <c r="N207" s="59">
        <f ca="1">IFERROR(__xludf.DUMMYFUNCTION("IMPORTRANGE(""https://docs.google.com/spreadsheets/d/13wPX838HrBrQMCywv1BsuMkt4PEKTChp52zj44s2izQ/edit?usp=sharing"",""กาญจนบุรี!N207"")+IMPORTRANGE(""https://docs.google.com/spreadsheets/d/1ddFKvqj1W1NEiWytbGlB1zMx_ykJDVtmfEQ-6-lIUBA/edit?usp=sharing"","&amp;"""จันทบุรี!N207"")+IMPORTRANGE(""https://docs.google.com/spreadsheets/d/1T1PQvRODqOBZk8BRht_U031fIS1beLA0Ub2CEytj2q0/edit?usp=sharing"",""ฉะเชิงเทรา!N207"")+IMPORTRANGE(""https://docs.google.com/spreadsheets/d/11tr1B-Bhyr79v2bkwVh5h_fR-PStkgjlZtkrZpYurG0/"&amp;"edit?usp=sharing"",""ชลบุรี!N207"")+IMPORTRANGE(""https://docs.google.com/spreadsheets/d/1hh-FVnSX0vozXhGluamEcS54Dw9_zqW0N7qJUWgJ0Sw/edit?usp=sharing"",""ชัยนาท!N207"")+IMPORTRANGE(""https://docs.google.com/spreadsheets/d/1jkqa6GXxSacMcY1eN8AHjMNJ_7dDXMJ"&amp;"VRLDlaFSOdPM/edit?usp=sharing"",""ตราด!N207"")+IMPORTRANGE(""https://docs.google.com/spreadsheets/d/18hSgUJ3VwClqi_qtULmmW3cLr0oe3OKaSYoKzdpTsYQ/edit?usp=sharing"",""นครนายก!N207"")+IMPORTRANGE(""https://docs.google.com/spreadsheets/d/1YTZo6WM2dQ6Ix6FSdnL"&amp;"5P7uVnVKu40sxZu975tgG10E/edit?usp=sharing"",""นครปฐม!N207"")+IMPORTRANGE(""https://docs.google.com/spreadsheets/d/1OYoGg4WDg5RIzwGeB10padOxJF9E_Vljuvvct_M7RDo/edit?usp=sharing"",""ปทุมธานี!N207"")+IMPORTRANGE(""https://docs.google.com/spreadsheets/d/1GbCI"&amp;"E4D4wk9FUozzqk7SxfDMxDVBwVmI5zcaVUSzKAc/edit?usp=sharing"",""ประจวบคีรีขันธ์!N207"")+IMPORTRANGE(""https://docs.google.com/spreadsheets/d/1vVf6wykvW_lAyu7Yo9L4hUTqHqIeP_qcVuxCtosJEbg/edit?usp=sharing"",""ปราจีนบุรี!N207"")+IMPORTRANGE(""https://docs.googl"&amp;"e.com/spreadsheets/d/1BIDqLLg5jk3v59G8NlR8rk5xfQDKne0sAvZHSj7TI6I/edit?usp=sharing"",""พระนครศรีอยุธยา!N207"")+IMPORTRANGE(""https://docs.google.com/spreadsheets/d/1YXvxf8Yu6_rV4hTBrwMqAcAnv6DfhUxh5emyM3CJp_w/edit?usp=sharing"",""เพชรบุรี!N207"")+IMPORTRA"&amp;"NGE(""https://docs.google.com/spreadsheets/d/19KBlQQs7uwvsao6t2n-KvW3Ax8J8uRRfZPq1zPbXgKc/edit?usp=sharing"",""ระยอง!N207"")+IMPORTRANGE(""https://docs.google.com/spreadsheets/d/1jQ6P4QcrGM89YfqcC_PxOHGCMq5ezhucwJd8ci-NHng/edit?usp=sharing"",""ราชบุรี!N20"&amp;"7"")+IMPORTRANGE(""https://docs.google.com/spreadsheets/d/1lufeA2cfFqM-elVq2hznhDzC6Pr7wkJ9ZG_sYNGCMCU/edit?usp=sharing"",""ลพบุรี!N207"")+IMPORTRANGE(""https://docs.google.com/spreadsheets/d/10oOiF7loTyfsTkbd4MpaIm0HQ9SwB7IYHdIUvt-U1Uc/edit?usp=sharing"""&amp;",""สระแก้ว!N207"")+IMPORTRANGE(""https://docs.google.com/spreadsheets/d/1xmPlrr1QbdSIKvl1dWUl9K4PjAfSL9oeMr_37QVzcxc/edit?usp=sharing"",""สระบุรี!N207"")+IMPORTRANGE(""https://docs.google.com/spreadsheets/d/1j51vR6CYVGhABJpv6tkstgok82RLpXieLzW1yOY5rHw/edi"&amp;"t?usp=sharing"",""สิงห์บุรี!N207"")+IMPORTRANGE(""https://docs.google.com/spreadsheets/d/1H1EalTWKUSzO4Z1-1CwzoDUaVffgrThEBe2sl74kKG0/edit?usp=sharing"",""สุพรรณบุรี!N207"")+IMPORTRANGE(""https://docs.google.com/spreadsheets/d/1BmIruG_sIrJLYao_Pdr7zVArWsf"&amp;"oBt2692TMi6x_854/edit?usp=sharing"",""อ่างทอง!N207"")"),0)</f>
        <v>0</v>
      </c>
      <c r="O207" s="183"/>
      <c r="P207" s="58"/>
    </row>
    <row r="208" spans="1:16" ht="19.5" x14ac:dyDescent="0.3">
      <c r="A208" s="167"/>
      <c r="B208" s="168"/>
      <c r="C208" s="158" t="s">
        <v>16</v>
      </c>
      <c r="D208" s="169" t="s">
        <v>36</v>
      </c>
      <c r="E208" s="170"/>
      <c r="F208" s="170"/>
      <c r="G208" s="171"/>
      <c r="H208" s="172"/>
      <c r="I208" s="164"/>
      <c r="J208" s="164"/>
      <c r="K208" s="165"/>
      <c r="L208" s="165"/>
      <c r="M208" s="165"/>
      <c r="N208" s="165"/>
      <c r="O208" s="165"/>
      <c r="P208" s="165"/>
    </row>
    <row r="209" spans="1:16" ht="18.75" x14ac:dyDescent="0.25">
      <c r="A209" s="167"/>
      <c r="B209" s="168"/>
      <c r="C209" s="168"/>
      <c r="D209" s="173" t="s">
        <v>84</v>
      </c>
      <c r="E209" s="174"/>
      <c r="F209" s="174"/>
      <c r="G209" s="172"/>
      <c r="H209" s="296" t="s">
        <v>79</v>
      </c>
      <c r="I209" s="196">
        <f ca="1">IFERROR(__xludf.DUMMYFUNCTION("IMPORTRANGE(""https://docs.google.com/spreadsheets/d/13wPX838HrBrQMCywv1BsuMkt4PEKTChp52zj44s2izQ/edit?usp=sharing"",""กาญจนบุรี!I209"")+IMPORTRANGE(""https://docs.google.com/spreadsheets/d/1ddFKvqj1W1NEiWytbGlB1zMx_ykJDVtmfEQ-6-lIUBA/edit?usp=sharing"","&amp;"""จันทบุรี!I209"")+IMPORTRANGE(""https://docs.google.com/spreadsheets/d/1T1PQvRODqOBZk8BRht_U031fIS1beLA0Ub2CEytj2q0/edit?usp=sharing"",""ฉะเชิงเทรา!I209"")+IMPORTRANGE(""https://docs.google.com/spreadsheets/d/11tr1B-Bhyr79v2bkwVh5h_fR-PStkgjlZtkrZpYurG0/"&amp;"edit?usp=sharing"",""ชลบุรี!I209"")+IMPORTRANGE(""https://docs.google.com/spreadsheets/d/1hh-FVnSX0vozXhGluamEcS54Dw9_zqW0N7qJUWgJ0Sw/edit?usp=sharing"",""ชัยนาท!I209"")+IMPORTRANGE(""https://docs.google.com/spreadsheets/d/1jkqa6GXxSacMcY1eN8AHjMNJ_7dDXMJ"&amp;"VRLDlaFSOdPM/edit?usp=sharing"",""ตราด!I209"")+IMPORTRANGE(""https://docs.google.com/spreadsheets/d/18hSgUJ3VwClqi_qtULmmW3cLr0oe3OKaSYoKzdpTsYQ/edit?usp=sharing"",""นครนายก!I209"")+IMPORTRANGE(""https://docs.google.com/spreadsheets/d/1YTZo6WM2dQ6Ix6FSdnL"&amp;"5P7uVnVKu40sxZu975tgG10E/edit?usp=sharing"",""นครปฐม!I209"")+IMPORTRANGE(""https://docs.google.com/spreadsheets/d/1OYoGg4WDg5RIzwGeB10padOxJF9E_Vljuvvct_M7RDo/edit?usp=sharing"",""ปทุมธานี!I209"")+IMPORTRANGE(""https://docs.google.com/spreadsheets/d/1GbCI"&amp;"E4D4wk9FUozzqk7SxfDMxDVBwVmI5zcaVUSzKAc/edit?usp=sharing"",""ประจวบคีรีขันธ์!I209"")+IMPORTRANGE(""https://docs.google.com/spreadsheets/d/1vVf6wykvW_lAyu7Yo9L4hUTqHqIeP_qcVuxCtosJEbg/edit?usp=sharing"",""ปราจีนบุรี!I209"")+IMPORTRANGE(""https://docs.googl"&amp;"e.com/spreadsheets/d/1BIDqLLg5jk3v59G8NlR8rk5xfQDKne0sAvZHSj7TI6I/edit?usp=sharing"",""พระนครศรีอยุธยา!I209"")+IMPORTRANGE(""https://docs.google.com/spreadsheets/d/1YXvxf8Yu6_rV4hTBrwMqAcAnv6DfhUxh5emyM3CJp_w/edit?usp=sharing"",""เพชรบุรี!I209"")+IMPORTRA"&amp;"NGE(""https://docs.google.com/spreadsheets/d/19KBlQQs7uwvsao6t2n-KvW3Ax8J8uRRfZPq1zPbXgKc/edit?usp=sharing"",""ระยอง!I209"")+IMPORTRANGE(""https://docs.google.com/spreadsheets/d/1jQ6P4QcrGM89YfqcC_PxOHGCMq5ezhucwJd8ci-NHng/edit?usp=sharing"",""ราชบุรี!I20"&amp;"9"")+IMPORTRANGE(""https://docs.google.com/spreadsheets/d/1lufeA2cfFqM-elVq2hznhDzC6Pr7wkJ9ZG_sYNGCMCU/edit?usp=sharing"",""ลพบุรี!I209"")+IMPORTRANGE(""https://docs.google.com/spreadsheets/d/10oOiF7loTyfsTkbd4MpaIm0HQ9SwB7IYHdIUvt-U1Uc/edit?usp=sharing"""&amp;",""สระแก้ว!I209"")+IMPORTRANGE(""https://docs.google.com/spreadsheets/d/1xmPlrr1QbdSIKvl1dWUl9K4PjAfSL9oeMr_37QVzcxc/edit?usp=sharing"",""สระบุรี!I209"")+IMPORTRANGE(""https://docs.google.com/spreadsheets/d/1j51vR6CYVGhABJpv6tkstgok82RLpXieLzW1yOY5rHw/edi"&amp;"t?usp=sharing"",""สิงห์บุรี!I209"")+IMPORTRANGE(""https://docs.google.com/spreadsheets/d/1H1EalTWKUSzO4Z1-1CwzoDUaVffgrThEBe2sl74kKG0/edit?usp=sharing"",""สุพรรณบุรี!I209"")+IMPORTRANGE(""https://docs.google.com/spreadsheets/d/1BmIruG_sIrJLYao_Pdr7zVArWsf"&amp;"oBt2692TMi6x_854/edit?usp=sharing"",""อ่างทอง!I209"")"),30)</f>
        <v>30</v>
      </c>
      <c r="J209" s="196">
        <f ca="1">IFERROR(__xludf.DUMMYFUNCTION("IMPORTRANGE(""https://docs.google.com/spreadsheets/d/13wPX838HrBrQMCywv1BsuMkt4PEKTChp52zj44s2izQ/edit?usp=sharing"",""กาญจนบุรี!J209"")+IMPORTRANGE(""https://docs.google.com/spreadsheets/d/1ddFKvqj1W1NEiWytbGlB1zMx_ykJDVtmfEQ-6-lIUBA/edit?usp=sharing"","&amp;"""จันทบุรี!J209"")+IMPORTRANGE(""https://docs.google.com/spreadsheets/d/1T1PQvRODqOBZk8BRht_U031fIS1beLA0Ub2CEytj2q0/edit?usp=sharing"",""ฉะเชิงเทรา!J209"")+IMPORTRANGE(""https://docs.google.com/spreadsheets/d/11tr1B-Bhyr79v2bkwVh5h_fR-PStkgjlZtkrZpYurG0/"&amp;"edit?usp=sharing"",""ชลบุรี!J209"")+IMPORTRANGE(""https://docs.google.com/spreadsheets/d/1hh-FVnSX0vozXhGluamEcS54Dw9_zqW0N7qJUWgJ0Sw/edit?usp=sharing"",""ชัยนาท!J209"")+IMPORTRANGE(""https://docs.google.com/spreadsheets/d/1jkqa6GXxSacMcY1eN8AHjMNJ_7dDXMJ"&amp;"VRLDlaFSOdPM/edit?usp=sharing"",""ตราด!J209"")+IMPORTRANGE(""https://docs.google.com/spreadsheets/d/18hSgUJ3VwClqi_qtULmmW3cLr0oe3OKaSYoKzdpTsYQ/edit?usp=sharing"",""นครนายก!J209"")+IMPORTRANGE(""https://docs.google.com/spreadsheets/d/1YTZo6WM2dQ6Ix6FSdnL"&amp;"5P7uVnVKu40sxZu975tgG10E/edit?usp=sharing"",""นครปฐม!J209"")+IMPORTRANGE(""https://docs.google.com/spreadsheets/d/1OYoGg4WDg5RIzwGeB10padOxJF9E_Vljuvvct_M7RDo/edit?usp=sharing"",""ปทุมธานี!J209"")+IMPORTRANGE(""https://docs.google.com/spreadsheets/d/1GbCI"&amp;"E4D4wk9FUozzqk7SxfDMxDVBwVmI5zcaVUSzKAc/edit?usp=sharing"",""ประจวบคีรีขันธ์!J209"")+IMPORTRANGE(""https://docs.google.com/spreadsheets/d/1vVf6wykvW_lAyu7Yo9L4hUTqHqIeP_qcVuxCtosJEbg/edit?usp=sharing"",""ปราจีนบุรี!J209"")+IMPORTRANGE(""https://docs.googl"&amp;"e.com/spreadsheets/d/1BIDqLLg5jk3v59G8NlR8rk5xfQDKne0sAvZHSj7TI6I/edit?usp=sharing"",""พระนครศรีอยุธยา!J209"")+IMPORTRANGE(""https://docs.google.com/spreadsheets/d/1YXvxf8Yu6_rV4hTBrwMqAcAnv6DfhUxh5emyM3CJp_w/edit?usp=sharing"",""เพชรบุรี!J209"")+IMPORTRA"&amp;"NGE(""https://docs.google.com/spreadsheets/d/19KBlQQs7uwvsao6t2n-KvW3Ax8J8uRRfZPq1zPbXgKc/edit?usp=sharing"",""ระยอง!J209"")+IMPORTRANGE(""https://docs.google.com/spreadsheets/d/1jQ6P4QcrGM89YfqcC_PxOHGCMq5ezhucwJd8ci-NHng/edit?usp=sharing"",""ราชบุรี!J20"&amp;"9"")+IMPORTRANGE(""https://docs.google.com/spreadsheets/d/1lufeA2cfFqM-elVq2hznhDzC6Pr7wkJ9ZG_sYNGCMCU/edit?usp=sharing"",""ลพบุรี!J209"")+IMPORTRANGE(""https://docs.google.com/spreadsheets/d/10oOiF7loTyfsTkbd4MpaIm0HQ9SwB7IYHdIUvt-U1Uc/edit?usp=sharing"""&amp;",""สระแก้ว!J209"")+IMPORTRANGE(""https://docs.google.com/spreadsheets/d/1xmPlrr1QbdSIKvl1dWUl9K4PjAfSL9oeMr_37QVzcxc/edit?usp=sharing"",""สระบุรี!J209"")+IMPORTRANGE(""https://docs.google.com/spreadsheets/d/1j51vR6CYVGhABJpv6tkstgok82RLpXieLzW1yOY5rHw/edi"&amp;"t?usp=sharing"",""สิงห์บุรี!J209"")+IMPORTRANGE(""https://docs.google.com/spreadsheets/d/1H1EalTWKUSzO4Z1-1CwzoDUaVffgrThEBe2sl74kKG0/edit?usp=sharing"",""สุพรรณบุรี!J209"")+IMPORTRANGE(""https://docs.google.com/spreadsheets/d/1BmIruG_sIrJLYao_Pdr7zVArWsf"&amp;"oBt2692TMi6x_854/edit?usp=sharing"",""อ่างทอง!J209"")"),3)</f>
        <v>3</v>
      </c>
      <c r="K209" s="183">
        <f ca="1">IF(I209&gt;0,J209*100/I209,0)</f>
        <v>10</v>
      </c>
      <c r="L209" s="58"/>
      <c r="M209" s="58"/>
      <c r="N209" s="58"/>
      <c r="O209" s="58"/>
      <c r="P209" s="58"/>
    </row>
    <row r="210" spans="1:16" ht="18.75" x14ac:dyDescent="0.25">
      <c r="A210" s="167"/>
      <c r="B210" s="168"/>
      <c r="C210" s="168"/>
      <c r="D210" s="195" t="s">
        <v>48</v>
      </c>
      <c r="E210" s="174"/>
      <c r="F210" s="174"/>
      <c r="G210" s="172"/>
      <c r="H210" s="172"/>
      <c r="I210" s="57"/>
      <c r="J210" s="57"/>
      <c r="K210" s="165"/>
      <c r="L210" s="58"/>
      <c r="M210" s="58"/>
      <c r="N210" s="58"/>
      <c r="O210" s="58"/>
      <c r="P210" s="58"/>
    </row>
    <row r="211" spans="1:16" ht="18.75" x14ac:dyDescent="0.25">
      <c r="A211" s="167"/>
      <c r="B211" s="168"/>
      <c r="C211" s="168"/>
      <c r="D211" s="174"/>
      <c r="E211" s="195" t="s">
        <v>85</v>
      </c>
      <c r="F211" s="174"/>
      <c r="G211" s="172"/>
      <c r="H211" s="296" t="s">
        <v>79</v>
      </c>
      <c r="I211" s="182">
        <v>0</v>
      </c>
      <c r="J211" s="196">
        <f ca="1">IFERROR(__xludf.DUMMYFUNCTION("IMPORTRANGE(""https://docs.google.com/spreadsheets/d/13wPX838HrBrQMCywv1BsuMkt4PEKTChp52zj44s2izQ/edit?usp=sharing"",""กาญจนบุรี!J211"")+IMPORTRANGE(""https://docs.google.com/spreadsheets/d/1ddFKvqj1W1NEiWytbGlB1zMx_ykJDVtmfEQ-6-lIUBA/edit?usp=sharing"","&amp;"""จันทบุรี!J211"")+IMPORTRANGE(""https://docs.google.com/spreadsheets/d/1T1PQvRODqOBZk8BRht_U031fIS1beLA0Ub2CEytj2q0/edit?usp=sharing"",""ฉะเชิงเทรา!J211"")+IMPORTRANGE(""https://docs.google.com/spreadsheets/d/11tr1B-Bhyr79v2bkwVh5h_fR-PStkgjlZtkrZpYurG0/"&amp;"edit?usp=sharing"",""ชลบุรี!J211"")+IMPORTRANGE(""https://docs.google.com/spreadsheets/d/1hh-FVnSX0vozXhGluamEcS54Dw9_zqW0N7qJUWgJ0Sw/edit?usp=sharing"",""ชัยนาท!J211"")+IMPORTRANGE(""https://docs.google.com/spreadsheets/d/1jkqa6GXxSacMcY1eN8AHjMNJ_7dDXMJ"&amp;"VRLDlaFSOdPM/edit?usp=sharing"",""ตราด!J211"")+IMPORTRANGE(""https://docs.google.com/spreadsheets/d/18hSgUJ3VwClqi_qtULmmW3cLr0oe3OKaSYoKzdpTsYQ/edit?usp=sharing"",""นครนายก!J211"")+IMPORTRANGE(""https://docs.google.com/spreadsheets/d/1YTZo6WM2dQ6Ix6FSdnL"&amp;"5P7uVnVKu40sxZu975tgG10E/edit?usp=sharing"",""นครปฐม!J211"")+IMPORTRANGE(""https://docs.google.com/spreadsheets/d/1OYoGg4WDg5RIzwGeB10padOxJF9E_Vljuvvct_M7RDo/edit?usp=sharing"",""ปทุมธานี!J211"")+IMPORTRANGE(""https://docs.google.com/spreadsheets/d/1GbCI"&amp;"E4D4wk9FUozzqk7SxfDMxDVBwVmI5zcaVUSzKAc/edit?usp=sharing"",""ประจวบคีรีขันธ์!J211"")+IMPORTRANGE(""https://docs.google.com/spreadsheets/d/1vVf6wykvW_lAyu7Yo9L4hUTqHqIeP_qcVuxCtosJEbg/edit?usp=sharing"",""ปราจีนบุรี!J211"")+IMPORTRANGE(""https://docs.googl"&amp;"e.com/spreadsheets/d/1BIDqLLg5jk3v59G8NlR8rk5xfQDKne0sAvZHSj7TI6I/edit?usp=sharing"",""พระนครศรีอยุธยา!J211"")+IMPORTRANGE(""https://docs.google.com/spreadsheets/d/1YXvxf8Yu6_rV4hTBrwMqAcAnv6DfhUxh5emyM3CJp_w/edit?usp=sharing"",""เพชรบุรี!J211"")+IMPORTRA"&amp;"NGE(""https://docs.google.com/spreadsheets/d/19KBlQQs7uwvsao6t2n-KvW3Ax8J8uRRfZPq1zPbXgKc/edit?usp=sharing"",""ระยอง!J211"")+IMPORTRANGE(""https://docs.google.com/spreadsheets/d/1jQ6P4QcrGM89YfqcC_PxOHGCMq5ezhucwJd8ci-NHng/edit?usp=sharing"",""ราชบุรี!J21"&amp;"1"")+IMPORTRANGE(""https://docs.google.com/spreadsheets/d/1lufeA2cfFqM-elVq2hznhDzC6Pr7wkJ9ZG_sYNGCMCU/edit?usp=sharing"",""ลพบุรี!J211"")+IMPORTRANGE(""https://docs.google.com/spreadsheets/d/10oOiF7loTyfsTkbd4MpaIm0HQ9SwB7IYHdIUvt-U1Uc/edit?usp=sharing"""&amp;",""สระแก้ว!J211"")+IMPORTRANGE(""https://docs.google.com/spreadsheets/d/1xmPlrr1QbdSIKvl1dWUl9K4PjAfSL9oeMr_37QVzcxc/edit?usp=sharing"",""สระบุรี!J211"")+IMPORTRANGE(""https://docs.google.com/spreadsheets/d/1j51vR6CYVGhABJpv6tkstgok82RLpXieLzW1yOY5rHw/edi"&amp;"t?usp=sharing"",""สิงห์บุรี!J211"")+IMPORTRANGE(""https://docs.google.com/spreadsheets/d/1H1EalTWKUSzO4Z1-1CwzoDUaVffgrThEBe2sl74kKG0/edit?usp=sharing"",""สุพรรณบุรี!J211"")+IMPORTRANGE(""https://docs.google.com/spreadsheets/d/1BmIruG_sIrJLYao_Pdr7zVArWsf"&amp;"oBt2692TMi6x_854/edit?usp=sharing"",""อ่างทอง!J211"")"),0)</f>
        <v>0</v>
      </c>
      <c r="K211" s="183">
        <f t="shared" ref="K211:K213" si="101">IF(I211&gt;0,J211*100/I211,0)</f>
        <v>0</v>
      </c>
      <c r="L211" s="58"/>
      <c r="M211" s="58"/>
      <c r="N211" s="58"/>
      <c r="O211" s="58"/>
      <c r="P211" s="58"/>
    </row>
    <row r="212" spans="1:16" ht="18.75" x14ac:dyDescent="0.25">
      <c r="A212" s="167"/>
      <c r="B212" s="168"/>
      <c r="C212" s="168"/>
      <c r="D212" s="174"/>
      <c r="E212" s="195" t="s">
        <v>86</v>
      </c>
      <c r="F212" s="174"/>
      <c r="G212" s="174"/>
      <c r="H212" s="297" t="s">
        <v>87</v>
      </c>
      <c r="I212" s="182">
        <v>0</v>
      </c>
      <c r="J212" s="196">
        <f ca="1">IFERROR(__xludf.DUMMYFUNCTION("IMPORTRANGE(""https://docs.google.com/spreadsheets/d/13wPX838HrBrQMCywv1BsuMkt4PEKTChp52zj44s2izQ/edit?usp=sharing"",""กาญจนบุรี!J212"")+IMPORTRANGE(""https://docs.google.com/spreadsheets/d/1ddFKvqj1W1NEiWytbGlB1zMx_ykJDVtmfEQ-6-lIUBA/edit?usp=sharing"","&amp;"""จันทบุรี!J212"")+IMPORTRANGE(""https://docs.google.com/spreadsheets/d/1T1PQvRODqOBZk8BRht_U031fIS1beLA0Ub2CEytj2q0/edit?usp=sharing"",""ฉะเชิงเทรา!J212"")+IMPORTRANGE(""https://docs.google.com/spreadsheets/d/11tr1B-Bhyr79v2bkwVh5h_fR-PStkgjlZtkrZpYurG0/"&amp;"edit?usp=sharing"",""ชลบุรี!J212"")+IMPORTRANGE(""https://docs.google.com/spreadsheets/d/1hh-FVnSX0vozXhGluamEcS54Dw9_zqW0N7qJUWgJ0Sw/edit?usp=sharing"",""ชัยนาท!J212"")+IMPORTRANGE(""https://docs.google.com/spreadsheets/d/1jkqa6GXxSacMcY1eN8AHjMNJ_7dDXMJ"&amp;"VRLDlaFSOdPM/edit?usp=sharing"",""ตราด!J212"")+IMPORTRANGE(""https://docs.google.com/spreadsheets/d/18hSgUJ3VwClqi_qtULmmW3cLr0oe3OKaSYoKzdpTsYQ/edit?usp=sharing"",""นครนายก!J212"")+IMPORTRANGE(""https://docs.google.com/spreadsheets/d/1YTZo6WM2dQ6Ix6FSdnL"&amp;"5P7uVnVKu40sxZu975tgG10E/edit?usp=sharing"",""นครปฐม!J212"")+IMPORTRANGE(""https://docs.google.com/spreadsheets/d/1OYoGg4WDg5RIzwGeB10padOxJF9E_Vljuvvct_M7RDo/edit?usp=sharing"",""ปทุมธานี!J212"")+IMPORTRANGE(""https://docs.google.com/spreadsheets/d/1GbCI"&amp;"E4D4wk9FUozzqk7SxfDMxDVBwVmI5zcaVUSzKAc/edit?usp=sharing"",""ประจวบคีรีขันธ์!J212"")+IMPORTRANGE(""https://docs.google.com/spreadsheets/d/1vVf6wykvW_lAyu7Yo9L4hUTqHqIeP_qcVuxCtosJEbg/edit?usp=sharing"",""ปราจีนบุรี!J212"")+IMPORTRANGE(""https://docs.googl"&amp;"e.com/spreadsheets/d/1BIDqLLg5jk3v59G8NlR8rk5xfQDKne0sAvZHSj7TI6I/edit?usp=sharing"",""พระนครศรีอยุธยา!J212"")+IMPORTRANGE(""https://docs.google.com/spreadsheets/d/1YXvxf8Yu6_rV4hTBrwMqAcAnv6DfhUxh5emyM3CJp_w/edit?usp=sharing"",""เพชรบุรี!J212"")+IMPORTRA"&amp;"NGE(""https://docs.google.com/spreadsheets/d/19KBlQQs7uwvsao6t2n-KvW3Ax8J8uRRfZPq1zPbXgKc/edit?usp=sharing"",""ระยอง!J212"")+IMPORTRANGE(""https://docs.google.com/spreadsheets/d/1jQ6P4QcrGM89YfqcC_PxOHGCMq5ezhucwJd8ci-NHng/edit?usp=sharing"",""ราชบุรี!J21"&amp;"2"")+IMPORTRANGE(""https://docs.google.com/spreadsheets/d/1lufeA2cfFqM-elVq2hznhDzC6Pr7wkJ9ZG_sYNGCMCU/edit?usp=sharing"",""ลพบุรี!J212"")+IMPORTRANGE(""https://docs.google.com/spreadsheets/d/10oOiF7loTyfsTkbd4MpaIm0HQ9SwB7IYHdIUvt-U1Uc/edit?usp=sharing"""&amp;",""สระแก้ว!J212"")+IMPORTRANGE(""https://docs.google.com/spreadsheets/d/1xmPlrr1QbdSIKvl1dWUl9K4PjAfSL9oeMr_37QVzcxc/edit?usp=sharing"",""สระบุรี!J212"")+IMPORTRANGE(""https://docs.google.com/spreadsheets/d/1j51vR6CYVGhABJpv6tkstgok82RLpXieLzW1yOY5rHw/edi"&amp;"t?usp=sharing"",""สิงห์บุรี!J212"")+IMPORTRANGE(""https://docs.google.com/spreadsheets/d/1H1EalTWKUSzO4Z1-1CwzoDUaVffgrThEBe2sl74kKG0/edit?usp=sharing"",""สุพรรณบุรี!J212"")+IMPORTRANGE(""https://docs.google.com/spreadsheets/d/1BmIruG_sIrJLYao_Pdr7zVArWsf"&amp;"oBt2692TMi6x_854/edit?usp=sharing"",""อ่างทอง!J212"")"),0)</f>
        <v>0</v>
      </c>
      <c r="K212" s="183">
        <f t="shared" si="101"/>
        <v>0</v>
      </c>
      <c r="L212" s="58"/>
      <c r="M212" s="58"/>
      <c r="N212" s="58"/>
      <c r="O212" s="58"/>
      <c r="P212" s="58"/>
    </row>
    <row r="213" spans="1:16" ht="19.5" x14ac:dyDescent="0.3">
      <c r="A213" s="281"/>
      <c r="B213" s="282"/>
      <c r="C213" s="283" t="s">
        <v>88</v>
      </c>
      <c r="D213" s="284"/>
      <c r="E213" s="284"/>
      <c r="F213" s="284"/>
      <c r="G213" s="285"/>
      <c r="H213" s="293" t="s">
        <v>79</v>
      </c>
      <c r="I213" s="287">
        <f t="shared" ref="I213:J213" ca="1" si="102">I220</f>
        <v>14</v>
      </c>
      <c r="J213" s="287">
        <f t="shared" ca="1" si="102"/>
        <v>1</v>
      </c>
      <c r="K213" s="288">
        <f t="shared" ca="1" si="101"/>
        <v>7.1428571428571432</v>
      </c>
      <c r="L213" s="289"/>
      <c r="M213" s="289"/>
      <c r="N213" s="289"/>
      <c r="O213" s="289"/>
      <c r="P213" s="289"/>
    </row>
    <row r="214" spans="1:16" ht="19.5" x14ac:dyDescent="0.3">
      <c r="A214" s="157"/>
      <c r="B214" s="53"/>
      <c r="C214" s="158" t="s">
        <v>16</v>
      </c>
      <c r="D214" s="290" t="s">
        <v>17</v>
      </c>
      <c r="E214" s="53"/>
      <c r="F214" s="53"/>
      <c r="G214" s="55"/>
      <c r="H214" s="291" t="s">
        <v>12</v>
      </c>
      <c r="I214" s="164"/>
      <c r="J214" s="164"/>
      <c r="K214" s="165"/>
      <c r="L214" s="161">
        <f ca="1">L215+L216+L217</f>
        <v>196000</v>
      </c>
      <c r="M214" s="58"/>
      <c r="N214" s="161">
        <f ca="1">N215+N216+N217</f>
        <v>8240</v>
      </c>
      <c r="O214" s="161">
        <f ca="1">IF(L214&gt;0,N214*100/L214,0)</f>
        <v>4.204081632653061</v>
      </c>
      <c r="P214" s="161"/>
    </row>
    <row r="215" spans="1:16" ht="18.75" x14ac:dyDescent="0.25">
      <c r="A215" s="157"/>
      <c r="B215" s="280"/>
      <c r="C215" s="53"/>
      <c r="D215" s="60" t="s">
        <v>80</v>
      </c>
      <c r="E215" s="53"/>
      <c r="F215" s="53"/>
      <c r="G215" s="55"/>
      <c r="H215" s="163" t="s">
        <v>12</v>
      </c>
      <c r="I215" s="164"/>
      <c r="J215" s="164"/>
      <c r="K215" s="165"/>
      <c r="L215" s="59">
        <f ca="1">IFERROR(__xludf.DUMMYFUNCTION("IMPORTRANGE(""https://docs.google.com/spreadsheets/d/13wPX838HrBrQMCywv1BsuMkt4PEKTChp52zj44s2izQ/edit?usp=sharing"",""กาญจนบุรี!L215"")+IMPORTRANGE(""https://docs.google.com/spreadsheets/d/1ddFKvqj1W1NEiWytbGlB1zMx_ykJDVtmfEQ-6-lIUBA/edit?usp=sharing"","&amp;"""จันทบุรี!L215"")+IMPORTRANGE(""https://docs.google.com/spreadsheets/d/1T1PQvRODqOBZk8BRht_U031fIS1beLA0Ub2CEytj2q0/edit?usp=sharing"",""ฉะเชิงเทรา!L215"")+IMPORTRANGE(""https://docs.google.com/spreadsheets/d/11tr1B-Bhyr79v2bkwVh5h_fR-PStkgjlZtkrZpYurG0/"&amp;"edit?usp=sharing"",""ชลบุรี!L215"")+IMPORTRANGE(""https://docs.google.com/spreadsheets/d/1hh-FVnSX0vozXhGluamEcS54Dw9_zqW0N7qJUWgJ0Sw/edit?usp=sharing"",""ชัยนาท!L215"")+IMPORTRANGE(""https://docs.google.com/spreadsheets/d/1jkqa6GXxSacMcY1eN8AHjMNJ_7dDXMJ"&amp;"VRLDlaFSOdPM/edit?usp=sharing"",""ตราด!L215"")+IMPORTRANGE(""https://docs.google.com/spreadsheets/d/18hSgUJ3VwClqi_qtULmmW3cLr0oe3OKaSYoKzdpTsYQ/edit?usp=sharing"",""นครนายก!L215"")+IMPORTRANGE(""https://docs.google.com/spreadsheets/d/1YTZo6WM2dQ6Ix6FSdnL"&amp;"5P7uVnVKu40sxZu975tgG10E/edit?usp=sharing"",""นครปฐม!L215"")+IMPORTRANGE(""https://docs.google.com/spreadsheets/d/1OYoGg4WDg5RIzwGeB10padOxJF9E_Vljuvvct_M7RDo/edit?usp=sharing"",""ปทุมธานี!L215"")+IMPORTRANGE(""https://docs.google.com/spreadsheets/d/1GbCI"&amp;"E4D4wk9FUozzqk7SxfDMxDVBwVmI5zcaVUSzKAc/edit?usp=sharing"",""ประจวบคีรีขันธ์!L215"")+IMPORTRANGE(""https://docs.google.com/spreadsheets/d/1vVf6wykvW_lAyu7Yo9L4hUTqHqIeP_qcVuxCtosJEbg/edit?usp=sharing"",""ปราจีนบุรี!L215"")+IMPORTRANGE(""https://docs.googl"&amp;"e.com/spreadsheets/d/1BIDqLLg5jk3v59G8NlR8rk5xfQDKne0sAvZHSj7TI6I/edit?usp=sharing"",""พระนครศรีอยุธยา!L215"")+IMPORTRANGE(""https://docs.google.com/spreadsheets/d/1YXvxf8Yu6_rV4hTBrwMqAcAnv6DfhUxh5emyM3CJp_w/edit?usp=sharing"",""เพชรบุรี!L215"")+IMPORTRA"&amp;"NGE(""https://docs.google.com/spreadsheets/d/19KBlQQs7uwvsao6t2n-KvW3Ax8J8uRRfZPq1zPbXgKc/edit?usp=sharing"",""ระยอง!L215"")+IMPORTRANGE(""https://docs.google.com/spreadsheets/d/1jQ6P4QcrGM89YfqcC_PxOHGCMq5ezhucwJd8ci-NHng/edit?usp=sharing"",""ราชบุรี!L21"&amp;"5"")+IMPORTRANGE(""https://docs.google.com/spreadsheets/d/1lufeA2cfFqM-elVq2hznhDzC6Pr7wkJ9ZG_sYNGCMCU/edit?usp=sharing"",""ลพบุรี!L215"")+IMPORTRANGE(""https://docs.google.com/spreadsheets/d/10oOiF7loTyfsTkbd4MpaIm0HQ9SwB7IYHdIUvt-U1Uc/edit?usp=sharing"""&amp;",""สระแก้ว!L215"")+IMPORTRANGE(""https://docs.google.com/spreadsheets/d/1xmPlrr1QbdSIKvl1dWUl9K4PjAfSL9oeMr_37QVzcxc/edit?usp=sharing"",""สระบุรี!L215"")+IMPORTRANGE(""https://docs.google.com/spreadsheets/d/1j51vR6CYVGhABJpv6tkstgok82RLpXieLzW1yOY5rHw/edi"&amp;"t?usp=sharing"",""สิงห์บุรี!L215"")+IMPORTRANGE(""https://docs.google.com/spreadsheets/d/1H1EalTWKUSzO4Z1-1CwzoDUaVffgrThEBe2sl74kKG0/edit?usp=sharing"",""สุพรรณบุรี!L215"")+IMPORTRANGE(""https://docs.google.com/spreadsheets/d/1BmIruG_sIrJLYao_Pdr7zVArWsf"&amp;"oBt2692TMi6x_854/edit?usp=sharing"",""อ่างทอง!L215"")"),14000)</f>
        <v>14000</v>
      </c>
      <c r="M215" s="58"/>
      <c r="N215" s="59">
        <f ca="1">IFERROR(__xludf.DUMMYFUNCTION("IMPORTRANGE(""https://docs.google.com/spreadsheets/d/13wPX838HrBrQMCywv1BsuMkt4PEKTChp52zj44s2izQ/edit?usp=sharing"",""กาญจนบุรี!N215"")+IMPORTRANGE(""https://docs.google.com/spreadsheets/d/1ddFKvqj1W1NEiWytbGlB1zMx_ykJDVtmfEQ-6-lIUBA/edit?usp=sharing"","&amp;"""จันทบุรี!N215"")+IMPORTRANGE(""https://docs.google.com/spreadsheets/d/1T1PQvRODqOBZk8BRht_U031fIS1beLA0Ub2CEytj2q0/edit?usp=sharing"",""ฉะเชิงเทรา!N215"")+IMPORTRANGE(""https://docs.google.com/spreadsheets/d/11tr1B-Bhyr79v2bkwVh5h_fR-PStkgjlZtkrZpYurG0/"&amp;"edit?usp=sharing"",""ชลบุรี!N215"")+IMPORTRANGE(""https://docs.google.com/spreadsheets/d/1hh-FVnSX0vozXhGluamEcS54Dw9_zqW0N7qJUWgJ0Sw/edit?usp=sharing"",""ชัยนาท!N215"")+IMPORTRANGE(""https://docs.google.com/spreadsheets/d/1jkqa6GXxSacMcY1eN8AHjMNJ_7dDXMJ"&amp;"VRLDlaFSOdPM/edit?usp=sharing"",""ตราด!N215"")+IMPORTRANGE(""https://docs.google.com/spreadsheets/d/18hSgUJ3VwClqi_qtULmmW3cLr0oe3OKaSYoKzdpTsYQ/edit?usp=sharing"",""นครนายก!N215"")+IMPORTRANGE(""https://docs.google.com/spreadsheets/d/1YTZo6WM2dQ6Ix6FSdnL"&amp;"5P7uVnVKu40sxZu975tgG10E/edit?usp=sharing"",""นครปฐม!N215"")+IMPORTRANGE(""https://docs.google.com/spreadsheets/d/1OYoGg4WDg5RIzwGeB10padOxJF9E_Vljuvvct_M7RDo/edit?usp=sharing"",""ปทุมธานี!N215"")+IMPORTRANGE(""https://docs.google.com/spreadsheets/d/1GbCI"&amp;"E4D4wk9FUozzqk7SxfDMxDVBwVmI5zcaVUSzKAc/edit?usp=sharing"",""ประจวบคีรีขันธ์!N215"")+IMPORTRANGE(""https://docs.google.com/spreadsheets/d/1vVf6wykvW_lAyu7Yo9L4hUTqHqIeP_qcVuxCtosJEbg/edit?usp=sharing"",""ปราจีนบุรี!N215"")+IMPORTRANGE(""https://docs.googl"&amp;"e.com/spreadsheets/d/1BIDqLLg5jk3v59G8NlR8rk5xfQDKne0sAvZHSj7TI6I/edit?usp=sharing"",""พระนครศรีอยุธยา!N215"")+IMPORTRANGE(""https://docs.google.com/spreadsheets/d/1YXvxf8Yu6_rV4hTBrwMqAcAnv6DfhUxh5emyM3CJp_w/edit?usp=sharing"",""เพชรบุรี!N215"")+IMPORTRA"&amp;"NGE(""https://docs.google.com/spreadsheets/d/19KBlQQs7uwvsao6t2n-KvW3Ax8J8uRRfZPq1zPbXgKc/edit?usp=sharing"",""ระยอง!N215"")+IMPORTRANGE(""https://docs.google.com/spreadsheets/d/1jQ6P4QcrGM89YfqcC_PxOHGCMq5ezhucwJd8ci-NHng/edit?usp=sharing"",""ราชบุรี!N21"&amp;"5"")+IMPORTRANGE(""https://docs.google.com/spreadsheets/d/1lufeA2cfFqM-elVq2hznhDzC6Pr7wkJ9ZG_sYNGCMCU/edit?usp=sharing"",""ลพบุรี!N215"")+IMPORTRANGE(""https://docs.google.com/spreadsheets/d/10oOiF7loTyfsTkbd4MpaIm0HQ9SwB7IYHdIUvt-U1Uc/edit?usp=sharing"""&amp;",""สระแก้ว!N215"")+IMPORTRANGE(""https://docs.google.com/spreadsheets/d/1xmPlrr1QbdSIKvl1dWUl9K4PjAfSL9oeMr_37QVzcxc/edit?usp=sharing"",""สระบุรี!N215"")+IMPORTRANGE(""https://docs.google.com/spreadsheets/d/1j51vR6CYVGhABJpv6tkstgok82RLpXieLzW1yOY5rHw/edi"&amp;"t?usp=sharing"",""สิงห์บุรี!N215"")+IMPORTRANGE(""https://docs.google.com/spreadsheets/d/1H1EalTWKUSzO4Z1-1CwzoDUaVffgrThEBe2sl74kKG0/edit?usp=sharing"",""สุพรรณบุรี!N215"")+IMPORTRANGE(""https://docs.google.com/spreadsheets/d/1BmIruG_sIrJLYao_Pdr7zVArWsf"&amp;"oBt2692TMi6x_854/edit?usp=sharing"",""อ่างทอง!N215"")"),240)</f>
        <v>240</v>
      </c>
      <c r="O215" s="183"/>
      <c r="P215" s="58"/>
    </row>
    <row r="216" spans="1:16" ht="18.75" x14ac:dyDescent="0.25">
      <c r="A216" s="276"/>
      <c r="B216" s="280"/>
      <c r="C216" s="280"/>
      <c r="D216" s="60" t="s">
        <v>89</v>
      </c>
      <c r="E216" s="53"/>
      <c r="F216" s="53"/>
      <c r="G216" s="55"/>
      <c r="H216" s="163" t="s">
        <v>12</v>
      </c>
      <c r="I216" s="57"/>
      <c r="J216" s="57"/>
      <c r="K216" s="58"/>
      <c r="L216" s="59">
        <f ca="1">IFERROR(__xludf.DUMMYFUNCTION("IMPORTRANGE(""https://docs.google.com/spreadsheets/d/13wPX838HrBrQMCywv1BsuMkt4PEKTChp52zj44s2izQ/edit?usp=sharing"",""กาญจนบุรี!L216"")+IMPORTRANGE(""https://docs.google.com/spreadsheets/d/1ddFKvqj1W1NEiWytbGlB1zMx_ykJDVtmfEQ-6-lIUBA/edit?usp=sharing"","&amp;"""จันทบุรี!L216"")+IMPORTRANGE(""https://docs.google.com/spreadsheets/d/1T1PQvRODqOBZk8BRht_U031fIS1beLA0Ub2CEytj2q0/edit?usp=sharing"",""ฉะเชิงเทรา!L216"")+IMPORTRANGE(""https://docs.google.com/spreadsheets/d/11tr1B-Bhyr79v2bkwVh5h_fR-PStkgjlZtkrZpYurG0/"&amp;"edit?usp=sharing"",""ชลบุรี!L216"")+IMPORTRANGE(""https://docs.google.com/spreadsheets/d/1hh-FVnSX0vozXhGluamEcS54Dw9_zqW0N7qJUWgJ0Sw/edit?usp=sharing"",""ชัยนาท!L216"")+IMPORTRANGE(""https://docs.google.com/spreadsheets/d/1jkqa6GXxSacMcY1eN8AHjMNJ_7dDXMJ"&amp;"VRLDlaFSOdPM/edit?usp=sharing"",""ตราด!L216"")+IMPORTRANGE(""https://docs.google.com/spreadsheets/d/18hSgUJ3VwClqi_qtULmmW3cLr0oe3OKaSYoKzdpTsYQ/edit?usp=sharing"",""นครนายก!L216"")+IMPORTRANGE(""https://docs.google.com/spreadsheets/d/1YTZo6WM2dQ6Ix6FSdnL"&amp;"5P7uVnVKu40sxZu975tgG10E/edit?usp=sharing"",""นครปฐม!L216"")+IMPORTRANGE(""https://docs.google.com/spreadsheets/d/1OYoGg4WDg5RIzwGeB10padOxJF9E_Vljuvvct_M7RDo/edit?usp=sharing"",""ปทุมธานี!L216"")+IMPORTRANGE(""https://docs.google.com/spreadsheets/d/1GbCI"&amp;"E4D4wk9FUozzqk7SxfDMxDVBwVmI5zcaVUSzKAc/edit?usp=sharing"",""ประจวบคีรีขันธ์!L216"")+IMPORTRANGE(""https://docs.google.com/spreadsheets/d/1vVf6wykvW_lAyu7Yo9L4hUTqHqIeP_qcVuxCtosJEbg/edit?usp=sharing"",""ปราจีนบุรี!L216"")+IMPORTRANGE(""https://docs.googl"&amp;"e.com/spreadsheets/d/1BIDqLLg5jk3v59G8NlR8rk5xfQDKne0sAvZHSj7TI6I/edit?usp=sharing"",""พระนครศรีอยุธยา!L216"")+IMPORTRANGE(""https://docs.google.com/spreadsheets/d/1YXvxf8Yu6_rV4hTBrwMqAcAnv6DfhUxh5emyM3CJp_w/edit?usp=sharing"",""เพชรบุรี!L216"")+IMPORTRA"&amp;"NGE(""https://docs.google.com/spreadsheets/d/19KBlQQs7uwvsao6t2n-KvW3Ax8J8uRRfZPq1zPbXgKc/edit?usp=sharing"",""ระยอง!L216"")+IMPORTRANGE(""https://docs.google.com/spreadsheets/d/1jQ6P4QcrGM89YfqcC_PxOHGCMq5ezhucwJd8ci-NHng/edit?usp=sharing"",""ราชบุรี!L21"&amp;"6"")+IMPORTRANGE(""https://docs.google.com/spreadsheets/d/1lufeA2cfFqM-elVq2hznhDzC6Pr7wkJ9ZG_sYNGCMCU/edit?usp=sharing"",""ลพบุรี!L216"")+IMPORTRANGE(""https://docs.google.com/spreadsheets/d/10oOiF7loTyfsTkbd4MpaIm0HQ9SwB7IYHdIUvt-U1Uc/edit?usp=sharing"""&amp;",""สระแก้ว!L216"")+IMPORTRANGE(""https://docs.google.com/spreadsheets/d/1xmPlrr1QbdSIKvl1dWUl9K4PjAfSL9oeMr_37QVzcxc/edit?usp=sharing"",""สระบุรี!L216"")+IMPORTRANGE(""https://docs.google.com/spreadsheets/d/1j51vR6CYVGhABJpv6tkstgok82RLpXieLzW1yOY5rHw/edi"&amp;"t?usp=sharing"",""สิงห์บุรี!L216"")+IMPORTRANGE(""https://docs.google.com/spreadsheets/d/1H1EalTWKUSzO4Z1-1CwzoDUaVffgrThEBe2sl74kKG0/edit?usp=sharing"",""สุพรรณบุรี!L216"")+IMPORTRANGE(""https://docs.google.com/spreadsheets/d/1BmIruG_sIrJLYao_Pdr7zVArWsf"&amp;"oBt2692TMi6x_854/edit?usp=sharing"",""อ่างทอง!L216"")"),70000)</f>
        <v>70000</v>
      </c>
      <c r="M216" s="58"/>
      <c r="N216" s="59">
        <f ca="1">IFERROR(__xludf.DUMMYFUNCTION("IMPORTRANGE(""https://docs.google.com/spreadsheets/d/13wPX838HrBrQMCywv1BsuMkt4PEKTChp52zj44s2izQ/edit?usp=sharing"",""กาญจนบุรี!N216"")+IMPORTRANGE(""https://docs.google.com/spreadsheets/d/1ddFKvqj1W1NEiWytbGlB1zMx_ykJDVtmfEQ-6-lIUBA/edit?usp=sharing"","&amp;"""จันทบุรี!N216"")+IMPORTRANGE(""https://docs.google.com/spreadsheets/d/1T1PQvRODqOBZk8BRht_U031fIS1beLA0Ub2CEytj2q0/edit?usp=sharing"",""ฉะเชิงเทรา!N216"")+IMPORTRANGE(""https://docs.google.com/spreadsheets/d/11tr1B-Bhyr79v2bkwVh5h_fR-PStkgjlZtkrZpYurG0/"&amp;"edit?usp=sharing"",""ชลบุรี!N216"")+IMPORTRANGE(""https://docs.google.com/spreadsheets/d/1hh-FVnSX0vozXhGluamEcS54Dw9_zqW0N7qJUWgJ0Sw/edit?usp=sharing"",""ชัยนาท!N216"")+IMPORTRANGE(""https://docs.google.com/spreadsheets/d/1jkqa6GXxSacMcY1eN8AHjMNJ_7dDXMJ"&amp;"VRLDlaFSOdPM/edit?usp=sharing"",""ตราด!N216"")+IMPORTRANGE(""https://docs.google.com/spreadsheets/d/18hSgUJ3VwClqi_qtULmmW3cLr0oe3OKaSYoKzdpTsYQ/edit?usp=sharing"",""นครนายก!N216"")+IMPORTRANGE(""https://docs.google.com/spreadsheets/d/1YTZo6WM2dQ6Ix6FSdnL"&amp;"5P7uVnVKu40sxZu975tgG10E/edit?usp=sharing"",""นครปฐม!N216"")+IMPORTRANGE(""https://docs.google.com/spreadsheets/d/1OYoGg4WDg5RIzwGeB10padOxJF9E_Vljuvvct_M7RDo/edit?usp=sharing"",""ปทุมธานี!N216"")+IMPORTRANGE(""https://docs.google.com/spreadsheets/d/1GbCI"&amp;"E4D4wk9FUozzqk7SxfDMxDVBwVmI5zcaVUSzKAc/edit?usp=sharing"",""ประจวบคีรีขันธ์!N216"")+IMPORTRANGE(""https://docs.google.com/spreadsheets/d/1vVf6wykvW_lAyu7Yo9L4hUTqHqIeP_qcVuxCtosJEbg/edit?usp=sharing"",""ปราจีนบุรี!N216"")+IMPORTRANGE(""https://docs.googl"&amp;"e.com/spreadsheets/d/1BIDqLLg5jk3v59G8NlR8rk5xfQDKne0sAvZHSj7TI6I/edit?usp=sharing"",""พระนครศรีอยุธยา!N216"")+IMPORTRANGE(""https://docs.google.com/spreadsheets/d/1YXvxf8Yu6_rV4hTBrwMqAcAnv6DfhUxh5emyM3CJp_w/edit?usp=sharing"",""เพชรบุรี!N216"")+IMPORTRA"&amp;"NGE(""https://docs.google.com/spreadsheets/d/19KBlQQs7uwvsao6t2n-KvW3Ax8J8uRRfZPq1zPbXgKc/edit?usp=sharing"",""ระยอง!N216"")+IMPORTRANGE(""https://docs.google.com/spreadsheets/d/1jQ6P4QcrGM89YfqcC_PxOHGCMq5ezhucwJd8ci-NHng/edit?usp=sharing"",""ราชบุรี!N21"&amp;"6"")+IMPORTRANGE(""https://docs.google.com/spreadsheets/d/1lufeA2cfFqM-elVq2hznhDzC6Pr7wkJ9ZG_sYNGCMCU/edit?usp=sharing"",""ลพบุรี!N216"")+IMPORTRANGE(""https://docs.google.com/spreadsheets/d/10oOiF7loTyfsTkbd4MpaIm0HQ9SwB7IYHdIUvt-U1Uc/edit?usp=sharing"""&amp;",""สระแก้ว!N216"")+IMPORTRANGE(""https://docs.google.com/spreadsheets/d/1xmPlrr1QbdSIKvl1dWUl9K4PjAfSL9oeMr_37QVzcxc/edit?usp=sharing"",""สระบุรี!N216"")+IMPORTRANGE(""https://docs.google.com/spreadsheets/d/1j51vR6CYVGhABJpv6tkstgok82RLpXieLzW1yOY5rHw/edi"&amp;"t?usp=sharing"",""สิงห์บุรี!N216"")+IMPORTRANGE(""https://docs.google.com/spreadsheets/d/1H1EalTWKUSzO4Z1-1CwzoDUaVffgrThEBe2sl74kKG0/edit?usp=sharing"",""สุพรรณบุรี!N216"")+IMPORTRANGE(""https://docs.google.com/spreadsheets/d/1BmIruG_sIrJLYao_Pdr7zVArWsf"&amp;"oBt2692TMi6x_854/edit?usp=sharing"",""อ่างทอง!N216"")"),0)</f>
        <v>0</v>
      </c>
      <c r="O216" s="183"/>
      <c r="P216" s="58"/>
    </row>
    <row r="217" spans="1:16" ht="18.75" x14ac:dyDescent="0.25">
      <c r="A217" s="276"/>
      <c r="B217" s="280"/>
      <c r="C217" s="280"/>
      <c r="D217" s="60" t="s">
        <v>82</v>
      </c>
      <c r="E217" s="53"/>
      <c r="F217" s="53"/>
      <c r="G217" s="55"/>
      <c r="H217" s="163" t="s">
        <v>12</v>
      </c>
      <c r="I217" s="57"/>
      <c r="J217" s="57"/>
      <c r="K217" s="58"/>
      <c r="L217" s="59">
        <f ca="1">IFERROR(__xludf.DUMMYFUNCTION("IMPORTRANGE(""https://docs.google.com/spreadsheets/d/13wPX838HrBrQMCywv1BsuMkt4PEKTChp52zj44s2izQ/edit?usp=sharing"",""กาญจนบุรี!L217"")+IMPORTRANGE(""https://docs.google.com/spreadsheets/d/1ddFKvqj1W1NEiWytbGlB1zMx_ykJDVtmfEQ-6-lIUBA/edit?usp=sharing"","&amp;"""จันทบุรี!L217"")+IMPORTRANGE(""https://docs.google.com/spreadsheets/d/1T1PQvRODqOBZk8BRht_U031fIS1beLA0Ub2CEytj2q0/edit?usp=sharing"",""ฉะเชิงเทรา!L217"")+IMPORTRANGE(""https://docs.google.com/spreadsheets/d/11tr1B-Bhyr79v2bkwVh5h_fR-PStkgjlZtkrZpYurG0/"&amp;"edit?usp=sharing"",""ชลบุรี!L217"")+IMPORTRANGE(""https://docs.google.com/spreadsheets/d/1hh-FVnSX0vozXhGluamEcS54Dw9_zqW0N7qJUWgJ0Sw/edit?usp=sharing"",""ชัยนาท!L217"")+IMPORTRANGE(""https://docs.google.com/spreadsheets/d/1jkqa6GXxSacMcY1eN8AHjMNJ_7dDXMJ"&amp;"VRLDlaFSOdPM/edit?usp=sharing"",""ตราด!L217"")+IMPORTRANGE(""https://docs.google.com/spreadsheets/d/18hSgUJ3VwClqi_qtULmmW3cLr0oe3OKaSYoKzdpTsYQ/edit?usp=sharing"",""นครนายก!L217"")+IMPORTRANGE(""https://docs.google.com/spreadsheets/d/1YTZo6WM2dQ6Ix6FSdnL"&amp;"5P7uVnVKu40sxZu975tgG10E/edit?usp=sharing"",""นครปฐม!L217"")+IMPORTRANGE(""https://docs.google.com/spreadsheets/d/1OYoGg4WDg5RIzwGeB10padOxJF9E_Vljuvvct_M7RDo/edit?usp=sharing"",""ปทุมธานี!L217"")+IMPORTRANGE(""https://docs.google.com/spreadsheets/d/1GbCI"&amp;"E4D4wk9FUozzqk7SxfDMxDVBwVmI5zcaVUSzKAc/edit?usp=sharing"",""ประจวบคีรีขันธ์!L217"")+IMPORTRANGE(""https://docs.google.com/spreadsheets/d/1vVf6wykvW_lAyu7Yo9L4hUTqHqIeP_qcVuxCtosJEbg/edit?usp=sharing"",""ปราจีนบุรี!L217"")+IMPORTRANGE(""https://docs.googl"&amp;"e.com/spreadsheets/d/1BIDqLLg5jk3v59G8NlR8rk5xfQDKne0sAvZHSj7TI6I/edit?usp=sharing"",""พระนครศรีอยุธยา!L217"")+IMPORTRANGE(""https://docs.google.com/spreadsheets/d/1YXvxf8Yu6_rV4hTBrwMqAcAnv6DfhUxh5emyM3CJp_w/edit?usp=sharing"",""เพชรบุรี!L217"")+IMPORTRA"&amp;"NGE(""https://docs.google.com/spreadsheets/d/19KBlQQs7uwvsao6t2n-KvW3Ax8J8uRRfZPq1zPbXgKc/edit?usp=sharing"",""ระยอง!L217"")+IMPORTRANGE(""https://docs.google.com/spreadsheets/d/1jQ6P4QcrGM89YfqcC_PxOHGCMq5ezhucwJd8ci-NHng/edit?usp=sharing"",""ราชบุรี!L21"&amp;"7"")+IMPORTRANGE(""https://docs.google.com/spreadsheets/d/1lufeA2cfFqM-elVq2hznhDzC6Pr7wkJ9ZG_sYNGCMCU/edit?usp=sharing"",""ลพบุรี!L217"")+IMPORTRANGE(""https://docs.google.com/spreadsheets/d/10oOiF7loTyfsTkbd4MpaIm0HQ9SwB7IYHdIUvt-U1Uc/edit?usp=sharing"""&amp;",""สระแก้ว!L217"")+IMPORTRANGE(""https://docs.google.com/spreadsheets/d/1xmPlrr1QbdSIKvl1dWUl9K4PjAfSL9oeMr_37QVzcxc/edit?usp=sharing"",""สระบุรี!L217"")+IMPORTRANGE(""https://docs.google.com/spreadsheets/d/1j51vR6CYVGhABJpv6tkstgok82RLpXieLzW1yOY5rHw/edi"&amp;"t?usp=sharing"",""สิงห์บุรี!L217"")+IMPORTRANGE(""https://docs.google.com/spreadsheets/d/1H1EalTWKUSzO4Z1-1CwzoDUaVffgrThEBe2sl74kKG0/edit?usp=sharing"",""สุพรรณบุรี!L217"")+IMPORTRANGE(""https://docs.google.com/spreadsheets/d/1BmIruG_sIrJLYao_Pdr7zVArWsf"&amp;"oBt2692TMi6x_854/edit?usp=sharing"",""อ่างทอง!L217"")"),112000)</f>
        <v>112000</v>
      </c>
      <c r="M217" s="58"/>
      <c r="N217" s="59">
        <f ca="1">IFERROR(__xludf.DUMMYFUNCTION("IMPORTRANGE(""https://docs.google.com/spreadsheets/d/13wPX838HrBrQMCywv1BsuMkt4PEKTChp52zj44s2izQ/edit?usp=sharing"",""กาญจนบุรี!N217"")+IMPORTRANGE(""https://docs.google.com/spreadsheets/d/1ddFKvqj1W1NEiWytbGlB1zMx_ykJDVtmfEQ-6-lIUBA/edit?usp=sharing"","&amp;"""จันทบุรี!N217"")+IMPORTRANGE(""https://docs.google.com/spreadsheets/d/1T1PQvRODqOBZk8BRht_U031fIS1beLA0Ub2CEytj2q0/edit?usp=sharing"",""ฉะเชิงเทรา!N217"")+IMPORTRANGE(""https://docs.google.com/spreadsheets/d/11tr1B-Bhyr79v2bkwVh5h_fR-PStkgjlZtkrZpYurG0/"&amp;"edit?usp=sharing"",""ชลบุรี!N217"")+IMPORTRANGE(""https://docs.google.com/spreadsheets/d/1hh-FVnSX0vozXhGluamEcS54Dw9_zqW0N7qJUWgJ0Sw/edit?usp=sharing"",""ชัยนาท!N217"")+IMPORTRANGE(""https://docs.google.com/spreadsheets/d/1jkqa6GXxSacMcY1eN8AHjMNJ_7dDXMJ"&amp;"VRLDlaFSOdPM/edit?usp=sharing"",""ตราด!N217"")+IMPORTRANGE(""https://docs.google.com/spreadsheets/d/18hSgUJ3VwClqi_qtULmmW3cLr0oe3OKaSYoKzdpTsYQ/edit?usp=sharing"",""นครนายก!N217"")+IMPORTRANGE(""https://docs.google.com/spreadsheets/d/1YTZo6WM2dQ6Ix6FSdnL"&amp;"5P7uVnVKu40sxZu975tgG10E/edit?usp=sharing"",""นครปฐม!N217"")+IMPORTRANGE(""https://docs.google.com/spreadsheets/d/1OYoGg4WDg5RIzwGeB10padOxJF9E_Vljuvvct_M7RDo/edit?usp=sharing"",""ปทุมธานี!N217"")+IMPORTRANGE(""https://docs.google.com/spreadsheets/d/1GbCI"&amp;"E4D4wk9FUozzqk7SxfDMxDVBwVmI5zcaVUSzKAc/edit?usp=sharing"",""ประจวบคีรีขันธ์!N217"")+IMPORTRANGE(""https://docs.google.com/spreadsheets/d/1vVf6wykvW_lAyu7Yo9L4hUTqHqIeP_qcVuxCtosJEbg/edit?usp=sharing"",""ปราจีนบุรี!N217"")+IMPORTRANGE(""https://docs.googl"&amp;"e.com/spreadsheets/d/1BIDqLLg5jk3v59G8NlR8rk5xfQDKne0sAvZHSj7TI6I/edit?usp=sharing"",""พระนครศรีอยุธยา!N217"")+IMPORTRANGE(""https://docs.google.com/spreadsheets/d/1YXvxf8Yu6_rV4hTBrwMqAcAnv6DfhUxh5emyM3CJp_w/edit?usp=sharing"",""เพชรบุรี!N217"")+IMPORTRA"&amp;"NGE(""https://docs.google.com/spreadsheets/d/19KBlQQs7uwvsao6t2n-KvW3Ax8J8uRRfZPq1zPbXgKc/edit?usp=sharing"",""ระยอง!N217"")+IMPORTRANGE(""https://docs.google.com/spreadsheets/d/1jQ6P4QcrGM89YfqcC_PxOHGCMq5ezhucwJd8ci-NHng/edit?usp=sharing"",""ราชบุรี!N21"&amp;"7"")+IMPORTRANGE(""https://docs.google.com/spreadsheets/d/1lufeA2cfFqM-elVq2hznhDzC6Pr7wkJ9ZG_sYNGCMCU/edit?usp=sharing"",""ลพบุรี!N217"")+IMPORTRANGE(""https://docs.google.com/spreadsheets/d/10oOiF7loTyfsTkbd4MpaIm0HQ9SwB7IYHdIUvt-U1Uc/edit?usp=sharing"""&amp;",""สระแก้ว!N217"")+IMPORTRANGE(""https://docs.google.com/spreadsheets/d/1xmPlrr1QbdSIKvl1dWUl9K4PjAfSL9oeMr_37QVzcxc/edit?usp=sharing"",""สระบุรี!N217"")+IMPORTRANGE(""https://docs.google.com/spreadsheets/d/1j51vR6CYVGhABJpv6tkstgok82RLpXieLzW1yOY5rHw/edi"&amp;"t?usp=sharing"",""สิงห์บุรี!N217"")+IMPORTRANGE(""https://docs.google.com/spreadsheets/d/1H1EalTWKUSzO4Z1-1CwzoDUaVffgrThEBe2sl74kKG0/edit?usp=sharing"",""สุพรรณบุรี!N217"")+IMPORTRANGE(""https://docs.google.com/spreadsheets/d/1BmIruG_sIrJLYao_Pdr7zVArWsf"&amp;"oBt2692TMi6x_854/edit?usp=sharing"",""อ่างทอง!N217"")"),8000)</f>
        <v>8000</v>
      </c>
      <c r="O217" s="183"/>
      <c r="P217" s="58"/>
    </row>
    <row r="218" spans="1:16" ht="19.5" x14ac:dyDescent="0.3">
      <c r="A218" s="167"/>
      <c r="B218" s="168"/>
      <c r="C218" s="298" t="s">
        <v>16</v>
      </c>
      <c r="D218" s="169" t="s">
        <v>36</v>
      </c>
      <c r="E218" s="170"/>
      <c r="F218" s="170"/>
      <c r="G218" s="171"/>
      <c r="H218" s="172"/>
      <c r="I218" s="164"/>
      <c r="J218" s="57"/>
      <c r="K218" s="58"/>
      <c r="L218" s="58"/>
      <c r="M218" s="58"/>
      <c r="N218" s="58"/>
      <c r="O218" s="165"/>
      <c r="P218" s="165"/>
    </row>
    <row r="219" spans="1:16" ht="18.75" x14ac:dyDescent="0.25">
      <c r="A219" s="167"/>
      <c r="B219" s="168"/>
      <c r="C219" s="168"/>
      <c r="D219" s="173" t="s">
        <v>90</v>
      </c>
      <c r="E219" s="174"/>
      <c r="F219" s="174"/>
      <c r="G219" s="172"/>
      <c r="H219" s="296" t="s">
        <v>79</v>
      </c>
      <c r="I219" s="196">
        <f ca="1">IFERROR(__xludf.DUMMYFUNCTION("IMPORTRANGE(""https://docs.google.com/spreadsheets/d/13wPX838HrBrQMCywv1BsuMkt4PEKTChp52zj44s2izQ/edit?usp=sharing"",""กาญจนบุรี!I219"")+IMPORTRANGE(""https://docs.google.com/spreadsheets/d/1ddFKvqj1W1NEiWytbGlB1zMx_ykJDVtmfEQ-6-lIUBA/edit?usp=sharing"","&amp;"""จันทบุรี!I219"")+IMPORTRANGE(""https://docs.google.com/spreadsheets/d/1T1PQvRODqOBZk8BRht_U031fIS1beLA0Ub2CEytj2q0/edit?usp=sharing"",""ฉะเชิงเทรา!I219"")+IMPORTRANGE(""https://docs.google.com/spreadsheets/d/11tr1B-Bhyr79v2bkwVh5h_fR-PStkgjlZtkrZpYurG0/"&amp;"edit?usp=sharing"",""ชลบุรี!I219"")+IMPORTRANGE(""https://docs.google.com/spreadsheets/d/1hh-FVnSX0vozXhGluamEcS54Dw9_zqW0N7qJUWgJ0Sw/edit?usp=sharing"",""ชัยนาท!I219"")+IMPORTRANGE(""https://docs.google.com/spreadsheets/d/1jkqa6GXxSacMcY1eN8AHjMNJ_7dDXMJ"&amp;"VRLDlaFSOdPM/edit?usp=sharing"",""ตราด!I219"")+IMPORTRANGE(""https://docs.google.com/spreadsheets/d/18hSgUJ3VwClqi_qtULmmW3cLr0oe3OKaSYoKzdpTsYQ/edit?usp=sharing"",""นครนายก!I219"")+IMPORTRANGE(""https://docs.google.com/spreadsheets/d/1YTZo6WM2dQ6Ix6FSdnL"&amp;"5P7uVnVKu40sxZu975tgG10E/edit?usp=sharing"",""นครปฐม!I219"")+IMPORTRANGE(""https://docs.google.com/spreadsheets/d/1OYoGg4WDg5RIzwGeB10padOxJF9E_Vljuvvct_M7RDo/edit?usp=sharing"",""ปทุมธานี!I219"")+IMPORTRANGE(""https://docs.google.com/spreadsheets/d/1GbCI"&amp;"E4D4wk9FUozzqk7SxfDMxDVBwVmI5zcaVUSzKAc/edit?usp=sharing"",""ประจวบคีรีขันธ์!I219"")+IMPORTRANGE(""https://docs.google.com/spreadsheets/d/1vVf6wykvW_lAyu7Yo9L4hUTqHqIeP_qcVuxCtosJEbg/edit?usp=sharing"",""ปราจีนบุรี!I219"")+IMPORTRANGE(""https://docs.googl"&amp;"e.com/spreadsheets/d/1BIDqLLg5jk3v59G8NlR8rk5xfQDKne0sAvZHSj7TI6I/edit?usp=sharing"",""พระนครศรีอยุธยา!I219"")+IMPORTRANGE(""https://docs.google.com/spreadsheets/d/1YXvxf8Yu6_rV4hTBrwMqAcAnv6DfhUxh5emyM3CJp_w/edit?usp=sharing"",""เพชรบุรี!I219"")+IMPORTRA"&amp;"NGE(""https://docs.google.com/spreadsheets/d/19KBlQQs7uwvsao6t2n-KvW3Ax8J8uRRfZPq1zPbXgKc/edit?usp=sharing"",""ระยอง!I219"")+IMPORTRANGE(""https://docs.google.com/spreadsheets/d/1jQ6P4QcrGM89YfqcC_PxOHGCMq5ezhucwJd8ci-NHng/edit?usp=sharing"",""ราชบุรี!I21"&amp;"9"")+IMPORTRANGE(""https://docs.google.com/spreadsheets/d/1lufeA2cfFqM-elVq2hznhDzC6Pr7wkJ9ZG_sYNGCMCU/edit?usp=sharing"",""ลพบุรี!I219"")+IMPORTRANGE(""https://docs.google.com/spreadsheets/d/10oOiF7loTyfsTkbd4MpaIm0HQ9SwB7IYHdIUvt-U1Uc/edit?usp=sharing"""&amp;",""สระแก้ว!I219"")+IMPORTRANGE(""https://docs.google.com/spreadsheets/d/1xmPlrr1QbdSIKvl1dWUl9K4PjAfSL9oeMr_37QVzcxc/edit?usp=sharing"",""สระบุรี!I219"")+IMPORTRANGE(""https://docs.google.com/spreadsheets/d/1j51vR6CYVGhABJpv6tkstgok82RLpXieLzW1yOY5rHw/edi"&amp;"t?usp=sharing"",""สิงห์บุรี!I219"")+IMPORTRANGE(""https://docs.google.com/spreadsheets/d/1H1EalTWKUSzO4Z1-1CwzoDUaVffgrThEBe2sl74kKG0/edit?usp=sharing"",""สุพรรณบุรี!I219"")+IMPORTRANGE(""https://docs.google.com/spreadsheets/d/1BmIruG_sIrJLYao_Pdr7zVArWsf"&amp;"oBt2692TMi6x_854/edit?usp=sharing"",""อ่างทอง!I219"")"),14)</f>
        <v>14</v>
      </c>
      <c r="J219" s="182">
        <f ca="1">IFERROR(__xludf.DUMMYFUNCTION("IMPORTRANGE(""https://docs.google.com/spreadsheets/d/13wPX838HrBrQMCywv1BsuMkt4PEKTChp52zj44s2izQ/edit?usp=sharing"",""กาญจนบุรี!J219"")+IMPORTRANGE(""https://docs.google.com/spreadsheets/d/1ddFKvqj1W1NEiWytbGlB1zMx_ykJDVtmfEQ-6-lIUBA/edit?usp=sharing"","&amp;"""จันทบุรี!J219"")+IMPORTRANGE(""https://docs.google.com/spreadsheets/d/1T1PQvRODqOBZk8BRht_U031fIS1beLA0Ub2CEytj2q0/edit?usp=sharing"",""ฉะเชิงเทรา!J219"")+IMPORTRANGE(""https://docs.google.com/spreadsheets/d/11tr1B-Bhyr79v2bkwVh5h_fR-PStkgjlZtkrZpYurG0/"&amp;"edit?usp=sharing"",""ชลบุรี!J219"")+IMPORTRANGE(""https://docs.google.com/spreadsheets/d/1hh-FVnSX0vozXhGluamEcS54Dw9_zqW0N7qJUWgJ0Sw/edit?usp=sharing"",""ชัยนาท!J219"")+IMPORTRANGE(""https://docs.google.com/spreadsheets/d/1jkqa6GXxSacMcY1eN8AHjMNJ_7dDXMJ"&amp;"VRLDlaFSOdPM/edit?usp=sharing"",""ตราด!J219"")+IMPORTRANGE(""https://docs.google.com/spreadsheets/d/18hSgUJ3VwClqi_qtULmmW3cLr0oe3OKaSYoKzdpTsYQ/edit?usp=sharing"",""นครนายก!J219"")+IMPORTRANGE(""https://docs.google.com/spreadsheets/d/1YTZo6WM2dQ6Ix6FSdnL"&amp;"5P7uVnVKu40sxZu975tgG10E/edit?usp=sharing"",""นครปฐม!J219"")+IMPORTRANGE(""https://docs.google.com/spreadsheets/d/1OYoGg4WDg5RIzwGeB10padOxJF9E_Vljuvvct_M7RDo/edit?usp=sharing"",""ปทุมธานี!J219"")+IMPORTRANGE(""https://docs.google.com/spreadsheets/d/1GbCI"&amp;"E4D4wk9FUozzqk7SxfDMxDVBwVmI5zcaVUSzKAc/edit?usp=sharing"",""ประจวบคีรีขันธ์!J219"")+IMPORTRANGE(""https://docs.google.com/spreadsheets/d/1vVf6wykvW_lAyu7Yo9L4hUTqHqIeP_qcVuxCtosJEbg/edit?usp=sharing"",""ปราจีนบุรี!J219"")+IMPORTRANGE(""https://docs.googl"&amp;"e.com/spreadsheets/d/1BIDqLLg5jk3v59G8NlR8rk5xfQDKne0sAvZHSj7TI6I/edit?usp=sharing"",""พระนครศรีอยุธยา!J219"")+IMPORTRANGE(""https://docs.google.com/spreadsheets/d/1YXvxf8Yu6_rV4hTBrwMqAcAnv6DfhUxh5emyM3CJp_w/edit?usp=sharing"",""เพชรบุรี!J219"")+IMPORTRA"&amp;"NGE(""https://docs.google.com/spreadsheets/d/19KBlQQs7uwvsao6t2n-KvW3Ax8J8uRRfZPq1zPbXgKc/edit?usp=sharing"",""ระยอง!J219"")+IMPORTRANGE(""https://docs.google.com/spreadsheets/d/1jQ6P4QcrGM89YfqcC_PxOHGCMq5ezhucwJd8ci-NHng/edit?usp=sharing"",""ราชบุรี!J21"&amp;"9"")+IMPORTRANGE(""https://docs.google.com/spreadsheets/d/1lufeA2cfFqM-elVq2hznhDzC6Pr7wkJ9ZG_sYNGCMCU/edit?usp=sharing"",""ลพบุรี!J219"")+IMPORTRANGE(""https://docs.google.com/spreadsheets/d/10oOiF7loTyfsTkbd4MpaIm0HQ9SwB7IYHdIUvt-U1Uc/edit?usp=sharing"""&amp;",""สระแก้ว!J219"")+IMPORTRANGE(""https://docs.google.com/spreadsheets/d/1xmPlrr1QbdSIKvl1dWUl9K4PjAfSL9oeMr_37QVzcxc/edit?usp=sharing"",""สระบุรี!J219"")+IMPORTRANGE(""https://docs.google.com/spreadsheets/d/1j51vR6CYVGhABJpv6tkstgok82RLpXieLzW1yOY5rHw/edi"&amp;"t?usp=sharing"",""สิงห์บุรี!J219"")+IMPORTRANGE(""https://docs.google.com/spreadsheets/d/1H1EalTWKUSzO4Z1-1CwzoDUaVffgrThEBe2sl74kKG0/edit?usp=sharing"",""สุพรรณบุรี!J219"")+IMPORTRANGE(""https://docs.google.com/spreadsheets/d/1BmIruG_sIrJLYao_Pdr7zVArWsf"&amp;"oBt2692TMi6x_854/edit?usp=sharing"",""อ่างทอง!J219"")"),0)</f>
        <v>0</v>
      </c>
      <c r="K219" s="59">
        <f t="shared" ref="K219:K221" ca="1" si="103">IF(I219&gt;0,J219*100/I219,0)</f>
        <v>0</v>
      </c>
      <c r="L219" s="58"/>
      <c r="M219" s="58"/>
      <c r="N219" s="58"/>
      <c r="O219" s="58"/>
      <c r="P219" s="58"/>
    </row>
    <row r="220" spans="1:16" ht="18.75" x14ac:dyDescent="0.25">
      <c r="A220" s="167"/>
      <c r="B220" s="168"/>
      <c r="C220" s="168"/>
      <c r="D220" s="173" t="s">
        <v>91</v>
      </c>
      <c r="E220" s="174"/>
      <c r="F220" s="174"/>
      <c r="G220" s="172"/>
      <c r="H220" s="296" t="s">
        <v>79</v>
      </c>
      <c r="I220" s="196">
        <f ca="1">IFERROR(__xludf.DUMMYFUNCTION("IMPORTRANGE(""https://docs.google.com/spreadsheets/d/13wPX838HrBrQMCywv1BsuMkt4PEKTChp52zj44s2izQ/edit?usp=sharing"",""กาญจนบุรี!I220"")+IMPORTRANGE(""https://docs.google.com/spreadsheets/d/1ddFKvqj1W1NEiWytbGlB1zMx_ykJDVtmfEQ-6-lIUBA/edit?usp=sharing"","&amp;"""จันทบุรี!I220"")+IMPORTRANGE(""https://docs.google.com/spreadsheets/d/1T1PQvRODqOBZk8BRht_U031fIS1beLA0Ub2CEytj2q0/edit?usp=sharing"",""ฉะเชิงเทรา!I220"")+IMPORTRANGE(""https://docs.google.com/spreadsheets/d/11tr1B-Bhyr79v2bkwVh5h_fR-PStkgjlZtkrZpYurG0/"&amp;"edit?usp=sharing"",""ชลบุรี!I220"")+IMPORTRANGE(""https://docs.google.com/spreadsheets/d/1hh-FVnSX0vozXhGluamEcS54Dw9_zqW0N7qJUWgJ0Sw/edit?usp=sharing"",""ชัยนาท!I220"")+IMPORTRANGE(""https://docs.google.com/spreadsheets/d/1jkqa6GXxSacMcY1eN8AHjMNJ_7dDXMJ"&amp;"VRLDlaFSOdPM/edit?usp=sharing"",""ตราด!I220"")+IMPORTRANGE(""https://docs.google.com/spreadsheets/d/18hSgUJ3VwClqi_qtULmmW3cLr0oe3OKaSYoKzdpTsYQ/edit?usp=sharing"",""นครนายก!I220"")+IMPORTRANGE(""https://docs.google.com/spreadsheets/d/1YTZo6WM2dQ6Ix6FSdnL"&amp;"5P7uVnVKu40sxZu975tgG10E/edit?usp=sharing"",""นครปฐม!I220"")+IMPORTRANGE(""https://docs.google.com/spreadsheets/d/1OYoGg4WDg5RIzwGeB10padOxJF9E_Vljuvvct_M7RDo/edit?usp=sharing"",""ปทุมธานี!I220"")+IMPORTRANGE(""https://docs.google.com/spreadsheets/d/1GbCI"&amp;"E4D4wk9FUozzqk7SxfDMxDVBwVmI5zcaVUSzKAc/edit?usp=sharing"",""ประจวบคีรีขันธ์!I220"")+IMPORTRANGE(""https://docs.google.com/spreadsheets/d/1vVf6wykvW_lAyu7Yo9L4hUTqHqIeP_qcVuxCtosJEbg/edit?usp=sharing"",""ปราจีนบุรี!I220"")+IMPORTRANGE(""https://docs.googl"&amp;"e.com/spreadsheets/d/1BIDqLLg5jk3v59G8NlR8rk5xfQDKne0sAvZHSj7TI6I/edit?usp=sharing"",""พระนครศรีอยุธยา!I220"")+IMPORTRANGE(""https://docs.google.com/spreadsheets/d/1YXvxf8Yu6_rV4hTBrwMqAcAnv6DfhUxh5emyM3CJp_w/edit?usp=sharing"",""เพชรบุรี!I220"")+IMPORTRA"&amp;"NGE(""https://docs.google.com/spreadsheets/d/19KBlQQs7uwvsao6t2n-KvW3Ax8J8uRRfZPq1zPbXgKc/edit?usp=sharing"",""ระยอง!I220"")+IMPORTRANGE(""https://docs.google.com/spreadsheets/d/1jQ6P4QcrGM89YfqcC_PxOHGCMq5ezhucwJd8ci-NHng/edit?usp=sharing"",""ราชบุรี!I22"&amp;"0"")+IMPORTRANGE(""https://docs.google.com/spreadsheets/d/1lufeA2cfFqM-elVq2hznhDzC6Pr7wkJ9ZG_sYNGCMCU/edit?usp=sharing"",""ลพบุรี!I220"")+IMPORTRANGE(""https://docs.google.com/spreadsheets/d/10oOiF7loTyfsTkbd4MpaIm0HQ9SwB7IYHdIUvt-U1Uc/edit?usp=sharing"""&amp;",""สระแก้ว!I220"")+IMPORTRANGE(""https://docs.google.com/spreadsheets/d/1xmPlrr1QbdSIKvl1dWUl9K4PjAfSL9oeMr_37QVzcxc/edit?usp=sharing"",""สระบุรี!I220"")+IMPORTRANGE(""https://docs.google.com/spreadsheets/d/1j51vR6CYVGhABJpv6tkstgok82RLpXieLzW1yOY5rHw/edi"&amp;"t?usp=sharing"",""สิงห์บุรี!I220"")+IMPORTRANGE(""https://docs.google.com/spreadsheets/d/1H1EalTWKUSzO4Z1-1CwzoDUaVffgrThEBe2sl74kKG0/edit?usp=sharing"",""สุพรรณบุรี!I220"")+IMPORTRANGE(""https://docs.google.com/spreadsheets/d/1BmIruG_sIrJLYao_Pdr7zVArWsf"&amp;"oBt2692TMi6x_854/edit?usp=sharing"",""อ่างทอง!I220"")"),14)</f>
        <v>14</v>
      </c>
      <c r="J220" s="182">
        <f ca="1">IFERROR(__xludf.DUMMYFUNCTION("IMPORTRANGE(""https://docs.google.com/spreadsheets/d/13wPX838HrBrQMCywv1BsuMkt4PEKTChp52zj44s2izQ/edit?usp=sharing"",""กาญจนบุรี!J220"")+IMPORTRANGE(""https://docs.google.com/spreadsheets/d/1ddFKvqj1W1NEiWytbGlB1zMx_ykJDVtmfEQ-6-lIUBA/edit?usp=sharing"","&amp;"""จันทบุรี!J220"")+IMPORTRANGE(""https://docs.google.com/spreadsheets/d/1T1PQvRODqOBZk8BRht_U031fIS1beLA0Ub2CEytj2q0/edit?usp=sharing"",""ฉะเชิงเทรา!J220"")+IMPORTRANGE(""https://docs.google.com/spreadsheets/d/11tr1B-Bhyr79v2bkwVh5h_fR-PStkgjlZtkrZpYurG0/"&amp;"edit?usp=sharing"",""ชลบุรี!J220"")+IMPORTRANGE(""https://docs.google.com/spreadsheets/d/1hh-FVnSX0vozXhGluamEcS54Dw9_zqW0N7qJUWgJ0Sw/edit?usp=sharing"",""ชัยนาท!J220"")+IMPORTRANGE(""https://docs.google.com/spreadsheets/d/1jkqa6GXxSacMcY1eN8AHjMNJ_7dDXMJ"&amp;"VRLDlaFSOdPM/edit?usp=sharing"",""ตราด!J220"")+IMPORTRANGE(""https://docs.google.com/spreadsheets/d/18hSgUJ3VwClqi_qtULmmW3cLr0oe3OKaSYoKzdpTsYQ/edit?usp=sharing"",""นครนายก!J220"")+IMPORTRANGE(""https://docs.google.com/spreadsheets/d/1YTZo6WM2dQ6Ix6FSdnL"&amp;"5P7uVnVKu40sxZu975tgG10E/edit?usp=sharing"",""นครปฐม!J220"")+IMPORTRANGE(""https://docs.google.com/spreadsheets/d/1OYoGg4WDg5RIzwGeB10padOxJF9E_Vljuvvct_M7RDo/edit?usp=sharing"",""ปทุมธานี!J220"")+IMPORTRANGE(""https://docs.google.com/spreadsheets/d/1GbCI"&amp;"E4D4wk9FUozzqk7SxfDMxDVBwVmI5zcaVUSzKAc/edit?usp=sharing"",""ประจวบคีรีขันธ์!J220"")+IMPORTRANGE(""https://docs.google.com/spreadsheets/d/1vVf6wykvW_lAyu7Yo9L4hUTqHqIeP_qcVuxCtosJEbg/edit?usp=sharing"",""ปราจีนบุรี!J220"")+IMPORTRANGE(""https://docs.googl"&amp;"e.com/spreadsheets/d/1BIDqLLg5jk3v59G8NlR8rk5xfQDKne0sAvZHSj7TI6I/edit?usp=sharing"",""พระนครศรีอยุธยา!J220"")+IMPORTRANGE(""https://docs.google.com/spreadsheets/d/1YXvxf8Yu6_rV4hTBrwMqAcAnv6DfhUxh5emyM3CJp_w/edit?usp=sharing"",""เพชรบุรี!J220"")+IMPORTRA"&amp;"NGE(""https://docs.google.com/spreadsheets/d/19KBlQQs7uwvsao6t2n-KvW3Ax8J8uRRfZPq1zPbXgKc/edit?usp=sharing"",""ระยอง!J220"")+IMPORTRANGE(""https://docs.google.com/spreadsheets/d/1jQ6P4QcrGM89YfqcC_PxOHGCMq5ezhucwJd8ci-NHng/edit?usp=sharing"",""ราชบุรี!J22"&amp;"0"")+IMPORTRANGE(""https://docs.google.com/spreadsheets/d/1lufeA2cfFqM-elVq2hznhDzC6Pr7wkJ9ZG_sYNGCMCU/edit?usp=sharing"",""ลพบุรี!J220"")+IMPORTRANGE(""https://docs.google.com/spreadsheets/d/10oOiF7loTyfsTkbd4MpaIm0HQ9SwB7IYHdIUvt-U1Uc/edit?usp=sharing"""&amp;",""สระแก้ว!J220"")+IMPORTRANGE(""https://docs.google.com/spreadsheets/d/1xmPlrr1QbdSIKvl1dWUl9K4PjAfSL9oeMr_37QVzcxc/edit?usp=sharing"",""สระบุรี!J220"")+IMPORTRANGE(""https://docs.google.com/spreadsheets/d/1j51vR6CYVGhABJpv6tkstgok82RLpXieLzW1yOY5rHw/edi"&amp;"t?usp=sharing"",""สิงห์บุรี!J220"")+IMPORTRANGE(""https://docs.google.com/spreadsheets/d/1H1EalTWKUSzO4Z1-1CwzoDUaVffgrThEBe2sl74kKG0/edit?usp=sharing"",""สุพรรณบุรี!J220"")+IMPORTRANGE(""https://docs.google.com/spreadsheets/d/1BmIruG_sIrJLYao_Pdr7zVArWsf"&amp;"oBt2692TMi6x_854/edit?usp=sharing"",""อ่างทอง!J220"")"),1)</f>
        <v>1</v>
      </c>
      <c r="K220" s="59">
        <f t="shared" ca="1" si="103"/>
        <v>7.1428571428571432</v>
      </c>
      <c r="L220" s="58"/>
      <c r="M220" s="58"/>
      <c r="N220" s="58"/>
      <c r="O220" s="58"/>
      <c r="P220" s="58"/>
    </row>
    <row r="221" spans="1:16" ht="19.5" x14ac:dyDescent="0.3">
      <c r="A221" s="281"/>
      <c r="B221" s="282"/>
      <c r="C221" s="283" t="s">
        <v>92</v>
      </c>
      <c r="D221" s="284"/>
      <c r="E221" s="284"/>
      <c r="F221" s="284"/>
      <c r="G221" s="285"/>
      <c r="H221" s="286" t="s">
        <v>93</v>
      </c>
      <c r="I221" s="287">
        <f t="shared" ref="I221:J221" ca="1" si="104">I229</f>
        <v>482200</v>
      </c>
      <c r="J221" s="287">
        <f t="shared" ca="1" si="104"/>
        <v>0</v>
      </c>
      <c r="K221" s="288">
        <f t="shared" ca="1" si="103"/>
        <v>0</v>
      </c>
      <c r="L221" s="289"/>
      <c r="M221" s="289"/>
      <c r="N221" s="289"/>
      <c r="O221" s="289"/>
      <c r="P221" s="289"/>
    </row>
    <row r="222" spans="1:16" ht="19.5" x14ac:dyDescent="0.3">
      <c r="A222" s="157"/>
      <c r="B222" s="53"/>
      <c r="C222" s="158" t="s">
        <v>16</v>
      </c>
      <c r="D222" s="290" t="s">
        <v>17</v>
      </c>
      <c r="E222" s="53"/>
      <c r="F222" s="53"/>
      <c r="G222" s="55"/>
      <c r="H222" s="291" t="s">
        <v>12</v>
      </c>
      <c r="I222" s="164"/>
      <c r="J222" s="164"/>
      <c r="K222" s="165"/>
      <c r="L222" s="161">
        <f ca="1">L223+L224+L225</f>
        <v>112500</v>
      </c>
      <c r="M222" s="58"/>
      <c r="N222" s="161">
        <f ca="1">N223+N224+N225</f>
        <v>0</v>
      </c>
      <c r="O222" s="161">
        <f ca="1">IF(L222&gt;0,N222*100/L222,0)</f>
        <v>0</v>
      </c>
      <c r="P222" s="161"/>
    </row>
    <row r="223" spans="1:16" ht="18.75" x14ac:dyDescent="0.25">
      <c r="A223" s="157"/>
      <c r="B223" s="280"/>
      <c r="C223" s="53"/>
      <c r="D223" s="60" t="s">
        <v>80</v>
      </c>
      <c r="E223" s="53"/>
      <c r="F223" s="53"/>
      <c r="G223" s="55"/>
      <c r="H223" s="163" t="s">
        <v>12</v>
      </c>
      <c r="I223" s="164"/>
      <c r="J223" s="164"/>
      <c r="K223" s="165"/>
      <c r="L223" s="59">
        <f ca="1">IFERROR(__xludf.DUMMYFUNCTION("IMPORTRANGE(""https://docs.google.com/spreadsheets/d/13wPX838HrBrQMCywv1BsuMkt4PEKTChp52zj44s2izQ/edit?usp=sharing"",""กาญจนบุรี!L223"")+IMPORTRANGE(""https://docs.google.com/spreadsheets/d/1ddFKvqj1W1NEiWytbGlB1zMx_ykJDVtmfEQ-6-lIUBA/edit?usp=sharing"","&amp;"""จันทบุรี!L223"")+IMPORTRANGE(""https://docs.google.com/spreadsheets/d/1T1PQvRODqOBZk8BRht_U031fIS1beLA0Ub2CEytj2q0/edit?usp=sharing"",""ฉะเชิงเทรา!L223"")+IMPORTRANGE(""https://docs.google.com/spreadsheets/d/11tr1B-Bhyr79v2bkwVh5h_fR-PStkgjlZtkrZpYurG0/"&amp;"edit?usp=sharing"",""ชลบุรี!L223"")+IMPORTRANGE(""https://docs.google.com/spreadsheets/d/1hh-FVnSX0vozXhGluamEcS54Dw9_zqW0N7qJUWgJ0Sw/edit?usp=sharing"",""ชัยนาท!L223"")+IMPORTRANGE(""https://docs.google.com/spreadsheets/d/1jkqa6GXxSacMcY1eN8AHjMNJ_7dDXMJ"&amp;"VRLDlaFSOdPM/edit?usp=sharing"",""ตราด!L223"")+IMPORTRANGE(""https://docs.google.com/spreadsheets/d/18hSgUJ3VwClqi_qtULmmW3cLr0oe3OKaSYoKzdpTsYQ/edit?usp=sharing"",""นครนายก!L223"")+IMPORTRANGE(""https://docs.google.com/spreadsheets/d/1YTZo6WM2dQ6Ix6FSdnL"&amp;"5P7uVnVKu40sxZu975tgG10E/edit?usp=sharing"",""นครปฐม!L223"")+IMPORTRANGE(""https://docs.google.com/spreadsheets/d/1OYoGg4WDg5RIzwGeB10padOxJF9E_Vljuvvct_M7RDo/edit?usp=sharing"",""ปทุมธานี!L223"")+IMPORTRANGE(""https://docs.google.com/spreadsheets/d/1GbCI"&amp;"E4D4wk9FUozzqk7SxfDMxDVBwVmI5zcaVUSzKAc/edit?usp=sharing"",""ประจวบคีรีขันธ์!L223"")+IMPORTRANGE(""https://docs.google.com/spreadsheets/d/1vVf6wykvW_lAyu7Yo9L4hUTqHqIeP_qcVuxCtosJEbg/edit?usp=sharing"",""ปราจีนบุรี!L223"")+IMPORTRANGE(""https://docs.googl"&amp;"e.com/spreadsheets/d/1BIDqLLg5jk3v59G8NlR8rk5xfQDKne0sAvZHSj7TI6I/edit?usp=sharing"",""พระนครศรีอยุธยา!L223"")+IMPORTRANGE(""https://docs.google.com/spreadsheets/d/1YXvxf8Yu6_rV4hTBrwMqAcAnv6DfhUxh5emyM3CJp_w/edit?usp=sharing"",""เพชรบุรี!L223"")+IMPORTRA"&amp;"NGE(""https://docs.google.com/spreadsheets/d/19KBlQQs7uwvsao6t2n-KvW3Ax8J8uRRfZPq1zPbXgKc/edit?usp=sharing"",""ระยอง!L223"")+IMPORTRANGE(""https://docs.google.com/spreadsheets/d/1jQ6P4QcrGM89YfqcC_PxOHGCMq5ezhucwJd8ci-NHng/edit?usp=sharing"",""ราชบุรี!L22"&amp;"3"")+IMPORTRANGE(""https://docs.google.com/spreadsheets/d/1lufeA2cfFqM-elVq2hznhDzC6Pr7wkJ9ZG_sYNGCMCU/edit?usp=sharing"",""ลพบุรี!L223"")+IMPORTRANGE(""https://docs.google.com/spreadsheets/d/10oOiF7loTyfsTkbd4MpaIm0HQ9SwB7IYHdIUvt-U1Uc/edit?usp=sharing"""&amp;",""สระแก้ว!L223"")+IMPORTRANGE(""https://docs.google.com/spreadsheets/d/1xmPlrr1QbdSIKvl1dWUl9K4PjAfSL9oeMr_37QVzcxc/edit?usp=sharing"",""สระบุรี!L223"")+IMPORTRANGE(""https://docs.google.com/spreadsheets/d/1j51vR6CYVGhABJpv6tkstgok82RLpXieLzW1yOY5rHw/edi"&amp;"t?usp=sharing"",""สิงห์บุรี!L223"")+IMPORTRANGE(""https://docs.google.com/spreadsheets/d/1H1EalTWKUSzO4Z1-1CwzoDUaVffgrThEBe2sl74kKG0/edit?usp=sharing"",""สุพรรณบุรี!L223"")+IMPORTRANGE(""https://docs.google.com/spreadsheets/d/1BmIruG_sIrJLYao_Pdr7zVArWsf"&amp;"oBt2692TMi6x_854/edit?usp=sharing"",""อ่างทอง!L223"")"),81000)</f>
        <v>81000</v>
      </c>
      <c r="M223" s="58"/>
      <c r="N223" s="59">
        <f ca="1">IFERROR(__xludf.DUMMYFUNCTION("IMPORTRANGE(""https://docs.google.com/spreadsheets/d/13wPX838HrBrQMCywv1BsuMkt4PEKTChp52zj44s2izQ/edit?usp=sharing"",""กาญจนบุรี!N223"")+IMPORTRANGE(""https://docs.google.com/spreadsheets/d/1ddFKvqj1W1NEiWytbGlB1zMx_ykJDVtmfEQ-6-lIUBA/edit?usp=sharing"","&amp;"""จันทบุรี!N223"")+IMPORTRANGE(""https://docs.google.com/spreadsheets/d/1T1PQvRODqOBZk8BRht_U031fIS1beLA0Ub2CEytj2q0/edit?usp=sharing"",""ฉะเชิงเทรา!N223"")+IMPORTRANGE(""https://docs.google.com/spreadsheets/d/11tr1B-Bhyr79v2bkwVh5h_fR-PStkgjlZtkrZpYurG0/"&amp;"edit?usp=sharing"",""ชลบุรี!N223"")+IMPORTRANGE(""https://docs.google.com/spreadsheets/d/1hh-FVnSX0vozXhGluamEcS54Dw9_zqW0N7qJUWgJ0Sw/edit?usp=sharing"",""ชัยนาท!N223"")+IMPORTRANGE(""https://docs.google.com/spreadsheets/d/1jkqa6GXxSacMcY1eN8AHjMNJ_7dDXMJ"&amp;"VRLDlaFSOdPM/edit?usp=sharing"",""ตราด!N223"")+IMPORTRANGE(""https://docs.google.com/spreadsheets/d/18hSgUJ3VwClqi_qtULmmW3cLr0oe3OKaSYoKzdpTsYQ/edit?usp=sharing"",""นครนายก!N223"")+IMPORTRANGE(""https://docs.google.com/spreadsheets/d/1YTZo6WM2dQ6Ix6FSdnL"&amp;"5P7uVnVKu40sxZu975tgG10E/edit?usp=sharing"",""นครปฐม!N223"")+IMPORTRANGE(""https://docs.google.com/spreadsheets/d/1OYoGg4WDg5RIzwGeB10padOxJF9E_Vljuvvct_M7RDo/edit?usp=sharing"",""ปทุมธานี!N223"")+IMPORTRANGE(""https://docs.google.com/spreadsheets/d/1GbCI"&amp;"E4D4wk9FUozzqk7SxfDMxDVBwVmI5zcaVUSzKAc/edit?usp=sharing"",""ประจวบคีรีขันธ์!N223"")+IMPORTRANGE(""https://docs.google.com/spreadsheets/d/1vVf6wykvW_lAyu7Yo9L4hUTqHqIeP_qcVuxCtosJEbg/edit?usp=sharing"",""ปราจีนบุรี!N223"")+IMPORTRANGE(""https://docs.googl"&amp;"e.com/spreadsheets/d/1BIDqLLg5jk3v59G8NlR8rk5xfQDKne0sAvZHSj7TI6I/edit?usp=sharing"",""พระนครศรีอยุธยา!N223"")+IMPORTRANGE(""https://docs.google.com/spreadsheets/d/1YXvxf8Yu6_rV4hTBrwMqAcAnv6DfhUxh5emyM3CJp_w/edit?usp=sharing"",""เพชรบุรี!N223"")+IMPORTRA"&amp;"NGE(""https://docs.google.com/spreadsheets/d/19KBlQQs7uwvsao6t2n-KvW3Ax8J8uRRfZPq1zPbXgKc/edit?usp=sharing"",""ระยอง!N223"")+IMPORTRANGE(""https://docs.google.com/spreadsheets/d/1jQ6P4QcrGM89YfqcC_PxOHGCMq5ezhucwJd8ci-NHng/edit?usp=sharing"",""ราชบุรี!N22"&amp;"3"")+IMPORTRANGE(""https://docs.google.com/spreadsheets/d/1lufeA2cfFqM-elVq2hznhDzC6Pr7wkJ9ZG_sYNGCMCU/edit?usp=sharing"",""ลพบุรี!N223"")+IMPORTRANGE(""https://docs.google.com/spreadsheets/d/10oOiF7loTyfsTkbd4MpaIm0HQ9SwB7IYHdIUvt-U1Uc/edit?usp=sharing"""&amp;",""สระแก้ว!N223"")+IMPORTRANGE(""https://docs.google.com/spreadsheets/d/1xmPlrr1QbdSIKvl1dWUl9K4PjAfSL9oeMr_37QVzcxc/edit?usp=sharing"",""สระบุรี!N223"")+IMPORTRANGE(""https://docs.google.com/spreadsheets/d/1j51vR6CYVGhABJpv6tkstgok82RLpXieLzW1yOY5rHw/edi"&amp;"t?usp=sharing"",""สิงห์บุรี!N223"")+IMPORTRANGE(""https://docs.google.com/spreadsheets/d/1H1EalTWKUSzO4Z1-1CwzoDUaVffgrThEBe2sl74kKG0/edit?usp=sharing"",""สุพรรณบุรี!N223"")+IMPORTRANGE(""https://docs.google.com/spreadsheets/d/1BmIruG_sIrJLYao_Pdr7zVArWsf"&amp;"oBt2692TMi6x_854/edit?usp=sharing"",""อ่างทอง!N223"")"),0)</f>
        <v>0</v>
      </c>
      <c r="O223" s="183"/>
      <c r="P223" s="58"/>
    </row>
    <row r="224" spans="1:16" ht="18.75" x14ac:dyDescent="0.25">
      <c r="A224" s="276"/>
      <c r="B224" s="280"/>
      <c r="C224" s="280"/>
      <c r="D224" s="60" t="s">
        <v>94</v>
      </c>
      <c r="E224" s="53"/>
      <c r="F224" s="53"/>
      <c r="G224" s="55"/>
      <c r="H224" s="163" t="s">
        <v>12</v>
      </c>
      <c r="I224" s="57"/>
      <c r="J224" s="57"/>
      <c r="K224" s="58"/>
      <c r="L224" s="59">
        <f ca="1">IFERROR(__xludf.DUMMYFUNCTION("IMPORTRANGE(""https://docs.google.com/spreadsheets/d/13wPX838HrBrQMCywv1BsuMkt4PEKTChp52zj44s2izQ/edit?usp=sharing"",""กาญจนบุรี!L224"")+IMPORTRANGE(""https://docs.google.com/spreadsheets/d/1ddFKvqj1W1NEiWytbGlB1zMx_ykJDVtmfEQ-6-lIUBA/edit?usp=sharing"","&amp;"""จันทบุรี!L224"")+IMPORTRANGE(""https://docs.google.com/spreadsheets/d/1T1PQvRODqOBZk8BRht_U031fIS1beLA0Ub2CEytj2q0/edit?usp=sharing"",""ฉะเชิงเทรา!L224"")+IMPORTRANGE(""https://docs.google.com/spreadsheets/d/11tr1B-Bhyr79v2bkwVh5h_fR-PStkgjlZtkrZpYurG0/"&amp;"edit?usp=sharing"",""ชลบุรี!L224"")+IMPORTRANGE(""https://docs.google.com/spreadsheets/d/1hh-FVnSX0vozXhGluamEcS54Dw9_zqW0N7qJUWgJ0Sw/edit?usp=sharing"",""ชัยนาท!L224"")+IMPORTRANGE(""https://docs.google.com/spreadsheets/d/1jkqa6GXxSacMcY1eN8AHjMNJ_7dDXMJ"&amp;"VRLDlaFSOdPM/edit?usp=sharing"",""ตราด!L224"")+IMPORTRANGE(""https://docs.google.com/spreadsheets/d/18hSgUJ3VwClqi_qtULmmW3cLr0oe3OKaSYoKzdpTsYQ/edit?usp=sharing"",""นครนายก!L224"")+IMPORTRANGE(""https://docs.google.com/spreadsheets/d/1YTZo6WM2dQ6Ix6FSdnL"&amp;"5P7uVnVKu40sxZu975tgG10E/edit?usp=sharing"",""นครปฐม!L224"")+IMPORTRANGE(""https://docs.google.com/spreadsheets/d/1OYoGg4WDg5RIzwGeB10padOxJF9E_Vljuvvct_M7RDo/edit?usp=sharing"",""ปทุมธานี!L224"")+IMPORTRANGE(""https://docs.google.com/spreadsheets/d/1GbCI"&amp;"E4D4wk9FUozzqk7SxfDMxDVBwVmI5zcaVUSzKAc/edit?usp=sharing"",""ประจวบคีรีขันธ์!L224"")+IMPORTRANGE(""https://docs.google.com/spreadsheets/d/1vVf6wykvW_lAyu7Yo9L4hUTqHqIeP_qcVuxCtosJEbg/edit?usp=sharing"",""ปราจีนบุรี!L224"")+IMPORTRANGE(""https://docs.googl"&amp;"e.com/spreadsheets/d/1BIDqLLg5jk3v59G8NlR8rk5xfQDKne0sAvZHSj7TI6I/edit?usp=sharing"",""พระนครศรีอยุธยา!L224"")+IMPORTRANGE(""https://docs.google.com/spreadsheets/d/1YXvxf8Yu6_rV4hTBrwMqAcAnv6DfhUxh5emyM3CJp_w/edit?usp=sharing"",""เพชรบุรี!L224"")+IMPORTRA"&amp;"NGE(""https://docs.google.com/spreadsheets/d/19KBlQQs7uwvsao6t2n-KvW3Ax8J8uRRfZPq1zPbXgKc/edit?usp=sharing"",""ระยอง!L224"")+IMPORTRANGE(""https://docs.google.com/spreadsheets/d/1jQ6P4QcrGM89YfqcC_PxOHGCMq5ezhucwJd8ci-NHng/edit?usp=sharing"",""ราชบุรี!L22"&amp;"4"")+IMPORTRANGE(""https://docs.google.com/spreadsheets/d/1lufeA2cfFqM-elVq2hznhDzC6Pr7wkJ9ZG_sYNGCMCU/edit?usp=sharing"",""ลพบุรี!L224"")+IMPORTRANGE(""https://docs.google.com/spreadsheets/d/10oOiF7loTyfsTkbd4MpaIm0HQ9SwB7IYHdIUvt-U1Uc/edit?usp=sharing"""&amp;",""สระแก้ว!L224"")+IMPORTRANGE(""https://docs.google.com/spreadsheets/d/1xmPlrr1QbdSIKvl1dWUl9K4PjAfSL9oeMr_37QVzcxc/edit?usp=sharing"",""สระบุรี!L224"")+IMPORTRANGE(""https://docs.google.com/spreadsheets/d/1j51vR6CYVGhABJpv6tkstgok82RLpXieLzW1yOY5rHw/edi"&amp;"t?usp=sharing"",""สิงห์บุรี!L224"")+IMPORTRANGE(""https://docs.google.com/spreadsheets/d/1H1EalTWKUSzO4Z1-1CwzoDUaVffgrThEBe2sl74kKG0/edit?usp=sharing"",""สุพรรณบุรี!L224"")+IMPORTRANGE(""https://docs.google.com/spreadsheets/d/1BmIruG_sIrJLYao_Pdr7zVArWsf"&amp;"oBt2692TMi6x_854/edit?usp=sharing"",""อ่างทอง!L224"")"),31500)</f>
        <v>31500</v>
      </c>
      <c r="M224" s="58"/>
      <c r="N224" s="59">
        <f ca="1">IFERROR(__xludf.DUMMYFUNCTION("IMPORTRANGE(""https://docs.google.com/spreadsheets/d/13wPX838HrBrQMCywv1BsuMkt4PEKTChp52zj44s2izQ/edit?usp=sharing"",""กาญจนบุรี!N224"")+IMPORTRANGE(""https://docs.google.com/spreadsheets/d/1ddFKvqj1W1NEiWytbGlB1zMx_ykJDVtmfEQ-6-lIUBA/edit?usp=sharing"","&amp;"""จันทบุรี!N224"")+IMPORTRANGE(""https://docs.google.com/spreadsheets/d/1T1PQvRODqOBZk8BRht_U031fIS1beLA0Ub2CEytj2q0/edit?usp=sharing"",""ฉะเชิงเทรา!N224"")+IMPORTRANGE(""https://docs.google.com/spreadsheets/d/11tr1B-Bhyr79v2bkwVh5h_fR-PStkgjlZtkrZpYurG0/"&amp;"edit?usp=sharing"",""ชลบุรี!N224"")+IMPORTRANGE(""https://docs.google.com/spreadsheets/d/1hh-FVnSX0vozXhGluamEcS54Dw9_zqW0N7qJUWgJ0Sw/edit?usp=sharing"",""ชัยนาท!N224"")+IMPORTRANGE(""https://docs.google.com/spreadsheets/d/1jkqa6GXxSacMcY1eN8AHjMNJ_7dDXMJ"&amp;"VRLDlaFSOdPM/edit?usp=sharing"",""ตราด!N224"")+IMPORTRANGE(""https://docs.google.com/spreadsheets/d/18hSgUJ3VwClqi_qtULmmW3cLr0oe3OKaSYoKzdpTsYQ/edit?usp=sharing"",""นครนายก!N224"")+IMPORTRANGE(""https://docs.google.com/spreadsheets/d/1YTZo6WM2dQ6Ix6FSdnL"&amp;"5P7uVnVKu40sxZu975tgG10E/edit?usp=sharing"",""นครปฐม!N224"")+IMPORTRANGE(""https://docs.google.com/spreadsheets/d/1OYoGg4WDg5RIzwGeB10padOxJF9E_Vljuvvct_M7RDo/edit?usp=sharing"",""ปทุมธานี!N224"")+IMPORTRANGE(""https://docs.google.com/spreadsheets/d/1GbCI"&amp;"E4D4wk9FUozzqk7SxfDMxDVBwVmI5zcaVUSzKAc/edit?usp=sharing"",""ประจวบคีรีขันธ์!N224"")+IMPORTRANGE(""https://docs.google.com/spreadsheets/d/1vVf6wykvW_lAyu7Yo9L4hUTqHqIeP_qcVuxCtosJEbg/edit?usp=sharing"",""ปราจีนบุรี!N224"")+IMPORTRANGE(""https://docs.googl"&amp;"e.com/spreadsheets/d/1BIDqLLg5jk3v59G8NlR8rk5xfQDKne0sAvZHSj7TI6I/edit?usp=sharing"",""พระนครศรีอยุธยา!N224"")+IMPORTRANGE(""https://docs.google.com/spreadsheets/d/1YXvxf8Yu6_rV4hTBrwMqAcAnv6DfhUxh5emyM3CJp_w/edit?usp=sharing"",""เพชรบุรี!N224"")+IMPORTRA"&amp;"NGE(""https://docs.google.com/spreadsheets/d/19KBlQQs7uwvsao6t2n-KvW3Ax8J8uRRfZPq1zPbXgKc/edit?usp=sharing"",""ระยอง!N224"")+IMPORTRANGE(""https://docs.google.com/spreadsheets/d/1jQ6P4QcrGM89YfqcC_PxOHGCMq5ezhucwJd8ci-NHng/edit?usp=sharing"",""ราชบุรี!N22"&amp;"4"")+IMPORTRANGE(""https://docs.google.com/spreadsheets/d/1lufeA2cfFqM-elVq2hznhDzC6Pr7wkJ9ZG_sYNGCMCU/edit?usp=sharing"",""ลพบุรี!N224"")+IMPORTRANGE(""https://docs.google.com/spreadsheets/d/10oOiF7loTyfsTkbd4MpaIm0HQ9SwB7IYHdIUvt-U1Uc/edit?usp=sharing"""&amp;",""สระแก้ว!N224"")+IMPORTRANGE(""https://docs.google.com/spreadsheets/d/1xmPlrr1QbdSIKvl1dWUl9K4PjAfSL9oeMr_37QVzcxc/edit?usp=sharing"",""สระบุรี!N224"")+IMPORTRANGE(""https://docs.google.com/spreadsheets/d/1j51vR6CYVGhABJpv6tkstgok82RLpXieLzW1yOY5rHw/edi"&amp;"t?usp=sharing"",""สิงห์บุรี!N224"")+IMPORTRANGE(""https://docs.google.com/spreadsheets/d/1H1EalTWKUSzO4Z1-1CwzoDUaVffgrThEBe2sl74kKG0/edit?usp=sharing"",""สุพรรณบุรี!N224"")+IMPORTRANGE(""https://docs.google.com/spreadsheets/d/1BmIruG_sIrJLYao_Pdr7zVArWsf"&amp;"oBt2692TMi6x_854/edit?usp=sharing"",""อ่างทอง!N224"")"),0)</f>
        <v>0</v>
      </c>
      <c r="O224" s="183"/>
      <c r="P224" s="58"/>
    </row>
    <row r="225" spans="1:16" ht="18.75" hidden="1" x14ac:dyDescent="0.25">
      <c r="A225" s="299"/>
      <c r="B225" s="300"/>
      <c r="C225" s="300"/>
      <c r="D225" s="301"/>
      <c r="E225" s="302"/>
      <c r="F225" s="302"/>
      <c r="G225" s="303"/>
      <c r="H225" s="304"/>
      <c r="I225" s="305"/>
      <c r="J225" s="305"/>
      <c r="K225" s="306"/>
      <c r="L225" s="307"/>
      <c r="M225" s="306"/>
      <c r="N225" s="307"/>
      <c r="O225" s="307"/>
      <c r="P225" s="306"/>
    </row>
    <row r="226" spans="1:16" ht="19.5" x14ac:dyDescent="0.3">
      <c r="A226" s="167"/>
      <c r="B226" s="168"/>
      <c r="C226" s="298" t="s">
        <v>16</v>
      </c>
      <c r="D226" s="169" t="s">
        <v>36</v>
      </c>
      <c r="E226" s="170"/>
      <c r="F226" s="170"/>
      <c r="G226" s="171"/>
      <c r="H226" s="172"/>
      <c r="I226" s="164"/>
      <c r="J226" s="164"/>
      <c r="K226" s="165"/>
      <c r="L226" s="165"/>
      <c r="M226" s="165"/>
      <c r="N226" s="165"/>
      <c r="O226" s="165"/>
      <c r="P226" s="165"/>
    </row>
    <row r="227" spans="1:16" ht="18.75" x14ac:dyDescent="0.25">
      <c r="A227" s="167"/>
      <c r="B227" s="168"/>
      <c r="C227" s="168"/>
      <c r="D227" s="60" t="s">
        <v>95</v>
      </c>
      <c r="E227" s="174"/>
      <c r="F227" s="174"/>
      <c r="G227" s="172"/>
      <c r="H227" s="172"/>
      <c r="I227" s="57"/>
      <c r="J227" s="57"/>
      <c r="K227" s="165"/>
      <c r="L227" s="165"/>
      <c r="M227" s="165"/>
      <c r="N227" s="165"/>
      <c r="O227" s="165"/>
      <c r="P227" s="165"/>
    </row>
    <row r="228" spans="1:16" ht="18.75" x14ac:dyDescent="0.25">
      <c r="A228" s="167"/>
      <c r="B228" s="168"/>
      <c r="C228" s="168"/>
      <c r="D228" s="168"/>
      <c r="E228" s="173" t="s">
        <v>96</v>
      </c>
      <c r="F228" s="174"/>
      <c r="G228" s="172"/>
      <c r="H228" s="180" t="s">
        <v>93</v>
      </c>
      <c r="I228" s="196">
        <f ca="1">IFERROR(__xludf.DUMMYFUNCTION("IMPORTRANGE(""https://docs.google.com/spreadsheets/d/13wPX838HrBrQMCywv1BsuMkt4PEKTChp52zj44s2izQ/edit?usp=sharing"",""กาญจนบุรี!I228"")+IMPORTRANGE(""https://docs.google.com/spreadsheets/d/1ddFKvqj1W1NEiWytbGlB1zMx_ykJDVtmfEQ-6-lIUBA/edit?usp=sharing"","&amp;"""จันทบุรี!I228"")+IMPORTRANGE(""https://docs.google.com/spreadsheets/d/1T1PQvRODqOBZk8BRht_U031fIS1beLA0Ub2CEytj2q0/edit?usp=sharing"",""ฉะเชิงเทรา!I228"")+IMPORTRANGE(""https://docs.google.com/spreadsheets/d/11tr1B-Bhyr79v2bkwVh5h_fR-PStkgjlZtkrZpYurG0/"&amp;"edit?usp=sharing"",""ชลบุรี!I228"")+IMPORTRANGE(""https://docs.google.com/spreadsheets/d/1hh-FVnSX0vozXhGluamEcS54Dw9_zqW0N7qJUWgJ0Sw/edit?usp=sharing"",""ชัยนาท!I228"")+IMPORTRANGE(""https://docs.google.com/spreadsheets/d/1jkqa6GXxSacMcY1eN8AHjMNJ_7dDXMJ"&amp;"VRLDlaFSOdPM/edit?usp=sharing"",""ตราด!I228"")+IMPORTRANGE(""https://docs.google.com/spreadsheets/d/18hSgUJ3VwClqi_qtULmmW3cLr0oe3OKaSYoKzdpTsYQ/edit?usp=sharing"",""นครนายก!I228"")+IMPORTRANGE(""https://docs.google.com/spreadsheets/d/1YTZo6WM2dQ6Ix6FSdnL"&amp;"5P7uVnVKu40sxZu975tgG10E/edit?usp=sharing"",""นครปฐม!I228"")+IMPORTRANGE(""https://docs.google.com/spreadsheets/d/1OYoGg4WDg5RIzwGeB10padOxJF9E_Vljuvvct_M7RDo/edit?usp=sharing"",""ปทุมธานี!I228"")+IMPORTRANGE(""https://docs.google.com/spreadsheets/d/1GbCI"&amp;"E4D4wk9FUozzqk7SxfDMxDVBwVmI5zcaVUSzKAc/edit?usp=sharing"",""ประจวบคีรีขันธ์!I228"")+IMPORTRANGE(""https://docs.google.com/spreadsheets/d/1vVf6wykvW_lAyu7Yo9L4hUTqHqIeP_qcVuxCtosJEbg/edit?usp=sharing"",""ปราจีนบุรี!I228"")+IMPORTRANGE(""https://docs.googl"&amp;"e.com/spreadsheets/d/1BIDqLLg5jk3v59G8NlR8rk5xfQDKne0sAvZHSj7TI6I/edit?usp=sharing"",""พระนครศรีอยุธยา!I228"")+IMPORTRANGE(""https://docs.google.com/spreadsheets/d/1YXvxf8Yu6_rV4hTBrwMqAcAnv6DfhUxh5emyM3CJp_w/edit?usp=sharing"",""เพชรบุรี!I228"")+IMPORTRA"&amp;"NGE(""https://docs.google.com/spreadsheets/d/19KBlQQs7uwvsao6t2n-KvW3Ax8J8uRRfZPq1zPbXgKc/edit?usp=sharing"",""ระยอง!I228"")+IMPORTRANGE(""https://docs.google.com/spreadsheets/d/1jQ6P4QcrGM89YfqcC_PxOHGCMq5ezhucwJd8ci-NHng/edit?usp=sharing"",""ราชบุรี!I22"&amp;"8"")+IMPORTRANGE(""https://docs.google.com/spreadsheets/d/1lufeA2cfFqM-elVq2hznhDzC6Pr7wkJ9ZG_sYNGCMCU/edit?usp=sharing"",""ลพบุรี!I228"")+IMPORTRANGE(""https://docs.google.com/spreadsheets/d/10oOiF7loTyfsTkbd4MpaIm0HQ9SwB7IYHdIUvt-U1Uc/edit?usp=sharing"""&amp;",""สระแก้ว!I228"")+IMPORTRANGE(""https://docs.google.com/spreadsheets/d/1xmPlrr1QbdSIKvl1dWUl9K4PjAfSL9oeMr_37QVzcxc/edit?usp=sharing"",""สระบุรี!I228"")+IMPORTRANGE(""https://docs.google.com/spreadsheets/d/1j51vR6CYVGhABJpv6tkstgok82RLpXieLzW1yOY5rHw/edi"&amp;"t?usp=sharing"",""สิงห์บุรี!I228"")+IMPORTRANGE(""https://docs.google.com/spreadsheets/d/1H1EalTWKUSzO4Z1-1CwzoDUaVffgrThEBe2sl74kKG0/edit?usp=sharing"",""สุพรรณบุรี!I228"")+IMPORTRANGE(""https://docs.google.com/spreadsheets/d/1BmIruG_sIrJLYao_Pdr7zVArWsf"&amp;"oBt2692TMi6x_854/edit?usp=sharing"",""อ่างทอง!I228"")"),482200)</f>
        <v>482200</v>
      </c>
      <c r="J228" s="182">
        <f ca="1">IFERROR(__xludf.DUMMYFUNCTION("IMPORTRANGE(""https://docs.google.com/spreadsheets/d/13wPX838HrBrQMCywv1BsuMkt4PEKTChp52zj44s2izQ/edit?usp=sharing"",""กาญจนบุรี!J228"")+IMPORTRANGE(""https://docs.google.com/spreadsheets/d/1ddFKvqj1W1NEiWytbGlB1zMx_ykJDVtmfEQ-6-lIUBA/edit?usp=sharing"","&amp;"""จันทบุรี!J228"")+IMPORTRANGE(""https://docs.google.com/spreadsheets/d/1T1PQvRODqOBZk8BRht_U031fIS1beLA0Ub2CEytj2q0/edit?usp=sharing"",""ฉะเชิงเทรา!J228"")+IMPORTRANGE(""https://docs.google.com/spreadsheets/d/11tr1B-Bhyr79v2bkwVh5h_fR-PStkgjlZtkrZpYurG0/"&amp;"edit?usp=sharing"",""ชลบุรี!J228"")+IMPORTRANGE(""https://docs.google.com/spreadsheets/d/1hh-FVnSX0vozXhGluamEcS54Dw9_zqW0N7qJUWgJ0Sw/edit?usp=sharing"",""ชัยนาท!J228"")+IMPORTRANGE(""https://docs.google.com/spreadsheets/d/1jkqa6GXxSacMcY1eN8AHjMNJ_7dDXMJ"&amp;"VRLDlaFSOdPM/edit?usp=sharing"",""ตราด!J228"")+IMPORTRANGE(""https://docs.google.com/spreadsheets/d/18hSgUJ3VwClqi_qtULmmW3cLr0oe3OKaSYoKzdpTsYQ/edit?usp=sharing"",""นครนายก!J228"")+IMPORTRANGE(""https://docs.google.com/spreadsheets/d/1YTZo6WM2dQ6Ix6FSdnL"&amp;"5P7uVnVKu40sxZu975tgG10E/edit?usp=sharing"",""นครปฐม!J228"")+IMPORTRANGE(""https://docs.google.com/spreadsheets/d/1OYoGg4WDg5RIzwGeB10padOxJF9E_Vljuvvct_M7RDo/edit?usp=sharing"",""ปทุมธานี!J228"")+IMPORTRANGE(""https://docs.google.com/spreadsheets/d/1GbCI"&amp;"E4D4wk9FUozzqk7SxfDMxDVBwVmI5zcaVUSzKAc/edit?usp=sharing"",""ประจวบคีรีขันธ์!J228"")+IMPORTRANGE(""https://docs.google.com/spreadsheets/d/1vVf6wykvW_lAyu7Yo9L4hUTqHqIeP_qcVuxCtosJEbg/edit?usp=sharing"",""ปราจีนบุรี!J228"")+IMPORTRANGE(""https://docs.googl"&amp;"e.com/spreadsheets/d/1BIDqLLg5jk3v59G8NlR8rk5xfQDKne0sAvZHSj7TI6I/edit?usp=sharing"",""พระนครศรีอยุธยา!J228"")+IMPORTRANGE(""https://docs.google.com/spreadsheets/d/1YXvxf8Yu6_rV4hTBrwMqAcAnv6DfhUxh5emyM3CJp_w/edit?usp=sharing"",""เพชรบุรี!J228"")+IMPORTRA"&amp;"NGE(""https://docs.google.com/spreadsheets/d/19KBlQQs7uwvsao6t2n-KvW3Ax8J8uRRfZPq1zPbXgKc/edit?usp=sharing"",""ระยอง!J228"")+IMPORTRANGE(""https://docs.google.com/spreadsheets/d/1jQ6P4QcrGM89YfqcC_PxOHGCMq5ezhucwJd8ci-NHng/edit?usp=sharing"",""ราชบุรี!J22"&amp;"8"")+IMPORTRANGE(""https://docs.google.com/spreadsheets/d/1lufeA2cfFqM-elVq2hznhDzC6Pr7wkJ9ZG_sYNGCMCU/edit?usp=sharing"",""ลพบุรี!J228"")+IMPORTRANGE(""https://docs.google.com/spreadsheets/d/10oOiF7loTyfsTkbd4MpaIm0HQ9SwB7IYHdIUvt-U1Uc/edit?usp=sharing"""&amp;",""สระแก้ว!J228"")+IMPORTRANGE(""https://docs.google.com/spreadsheets/d/1xmPlrr1QbdSIKvl1dWUl9K4PjAfSL9oeMr_37QVzcxc/edit?usp=sharing"",""สระบุรี!J228"")+IMPORTRANGE(""https://docs.google.com/spreadsheets/d/1j51vR6CYVGhABJpv6tkstgok82RLpXieLzW1yOY5rHw/edi"&amp;"t?usp=sharing"",""สิงห์บุรี!J228"")+IMPORTRANGE(""https://docs.google.com/spreadsheets/d/1H1EalTWKUSzO4Z1-1CwzoDUaVffgrThEBe2sl74kKG0/edit?usp=sharing"",""สุพรรณบุรี!J228"")+IMPORTRANGE(""https://docs.google.com/spreadsheets/d/1BmIruG_sIrJLYao_Pdr7zVArWsf"&amp;"oBt2692TMi6x_854/edit?usp=sharing"",""อ่างทอง!J228"")"),57800)</f>
        <v>57800</v>
      </c>
      <c r="K228" s="183">
        <f t="shared" ref="K228:K231" ca="1" si="105">IF(I228&gt;0,J228*100/I228,0)</f>
        <v>11.986727498963086</v>
      </c>
      <c r="L228" s="165"/>
      <c r="M228" s="165"/>
      <c r="N228" s="165"/>
      <c r="O228" s="165"/>
      <c r="P228" s="165"/>
    </row>
    <row r="229" spans="1:16" ht="18.75" x14ac:dyDescent="0.25">
      <c r="A229" s="167"/>
      <c r="B229" s="168"/>
      <c r="C229" s="168"/>
      <c r="D229" s="168"/>
      <c r="E229" s="173" t="s">
        <v>97</v>
      </c>
      <c r="F229" s="174"/>
      <c r="G229" s="172"/>
      <c r="H229" s="180" t="s">
        <v>93</v>
      </c>
      <c r="I229" s="196">
        <f ca="1">IFERROR(__xludf.DUMMYFUNCTION("IMPORTRANGE(""https://docs.google.com/spreadsheets/d/13wPX838HrBrQMCywv1BsuMkt4PEKTChp52zj44s2izQ/edit?usp=sharing"",""กาญจนบุรี!I229"")+IMPORTRANGE(""https://docs.google.com/spreadsheets/d/1ddFKvqj1W1NEiWytbGlB1zMx_ykJDVtmfEQ-6-lIUBA/edit?usp=sharing"","&amp;"""จันทบุรี!I229"")+IMPORTRANGE(""https://docs.google.com/spreadsheets/d/1T1PQvRODqOBZk8BRht_U031fIS1beLA0Ub2CEytj2q0/edit?usp=sharing"",""ฉะเชิงเทรา!I229"")+IMPORTRANGE(""https://docs.google.com/spreadsheets/d/11tr1B-Bhyr79v2bkwVh5h_fR-PStkgjlZtkrZpYurG0/"&amp;"edit?usp=sharing"",""ชลบุรี!I229"")+IMPORTRANGE(""https://docs.google.com/spreadsheets/d/1hh-FVnSX0vozXhGluamEcS54Dw9_zqW0N7qJUWgJ0Sw/edit?usp=sharing"",""ชัยนาท!I229"")+IMPORTRANGE(""https://docs.google.com/spreadsheets/d/1jkqa6GXxSacMcY1eN8AHjMNJ_7dDXMJ"&amp;"VRLDlaFSOdPM/edit?usp=sharing"",""ตราด!I229"")+IMPORTRANGE(""https://docs.google.com/spreadsheets/d/18hSgUJ3VwClqi_qtULmmW3cLr0oe3OKaSYoKzdpTsYQ/edit?usp=sharing"",""นครนายก!I229"")+IMPORTRANGE(""https://docs.google.com/spreadsheets/d/1YTZo6WM2dQ6Ix6FSdnL"&amp;"5P7uVnVKu40sxZu975tgG10E/edit?usp=sharing"",""นครปฐม!I229"")+IMPORTRANGE(""https://docs.google.com/spreadsheets/d/1OYoGg4WDg5RIzwGeB10padOxJF9E_Vljuvvct_M7RDo/edit?usp=sharing"",""ปทุมธานี!I229"")+IMPORTRANGE(""https://docs.google.com/spreadsheets/d/1GbCI"&amp;"E4D4wk9FUozzqk7SxfDMxDVBwVmI5zcaVUSzKAc/edit?usp=sharing"",""ประจวบคีรีขันธ์!I229"")+IMPORTRANGE(""https://docs.google.com/spreadsheets/d/1vVf6wykvW_lAyu7Yo9L4hUTqHqIeP_qcVuxCtosJEbg/edit?usp=sharing"",""ปราจีนบุรี!I229"")+IMPORTRANGE(""https://docs.googl"&amp;"e.com/spreadsheets/d/1BIDqLLg5jk3v59G8NlR8rk5xfQDKne0sAvZHSj7TI6I/edit?usp=sharing"",""พระนครศรีอยุธยา!I229"")+IMPORTRANGE(""https://docs.google.com/spreadsheets/d/1YXvxf8Yu6_rV4hTBrwMqAcAnv6DfhUxh5emyM3CJp_w/edit?usp=sharing"",""เพชรบุรี!I229"")+IMPORTRA"&amp;"NGE(""https://docs.google.com/spreadsheets/d/19KBlQQs7uwvsao6t2n-KvW3Ax8J8uRRfZPq1zPbXgKc/edit?usp=sharing"",""ระยอง!I229"")+IMPORTRANGE(""https://docs.google.com/spreadsheets/d/1jQ6P4QcrGM89YfqcC_PxOHGCMq5ezhucwJd8ci-NHng/edit?usp=sharing"",""ราชบุรี!I22"&amp;"9"")+IMPORTRANGE(""https://docs.google.com/spreadsheets/d/1lufeA2cfFqM-elVq2hznhDzC6Pr7wkJ9ZG_sYNGCMCU/edit?usp=sharing"",""ลพบุรี!I229"")+IMPORTRANGE(""https://docs.google.com/spreadsheets/d/10oOiF7loTyfsTkbd4MpaIm0HQ9SwB7IYHdIUvt-U1Uc/edit?usp=sharing"""&amp;",""สระแก้ว!I229"")+IMPORTRANGE(""https://docs.google.com/spreadsheets/d/1xmPlrr1QbdSIKvl1dWUl9K4PjAfSL9oeMr_37QVzcxc/edit?usp=sharing"",""สระบุรี!I229"")+IMPORTRANGE(""https://docs.google.com/spreadsheets/d/1j51vR6CYVGhABJpv6tkstgok82RLpXieLzW1yOY5rHw/edi"&amp;"t?usp=sharing"",""สิงห์บุรี!I229"")+IMPORTRANGE(""https://docs.google.com/spreadsheets/d/1H1EalTWKUSzO4Z1-1CwzoDUaVffgrThEBe2sl74kKG0/edit?usp=sharing"",""สุพรรณบุรี!I229"")+IMPORTRANGE(""https://docs.google.com/spreadsheets/d/1BmIruG_sIrJLYao_Pdr7zVArWsf"&amp;"oBt2692TMi6x_854/edit?usp=sharing"",""อ่างทอง!I229"")"),482200)</f>
        <v>482200</v>
      </c>
      <c r="J229" s="182">
        <f ca="1">IFERROR(__xludf.DUMMYFUNCTION("IMPORTRANGE(""https://docs.google.com/spreadsheets/d/13wPX838HrBrQMCywv1BsuMkt4PEKTChp52zj44s2izQ/edit?usp=sharing"",""กาญจนบุรี!J229"")+IMPORTRANGE(""https://docs.google.com/spreadsheets/d/1ddFKvqj1W1NEiWytbGlB1zMx_ykJDVtmfEQ-6-lIUBA/edit?usp=sharing"","&amp;"""จันทบุรี!J229"")+IMPORTRANGE(""https://docs.google.com/spreadsheets/d/1T1PQvRODqOBZk8BRht_U031fIS1beLA0Ub2CEytj2q0/edit?usp=sharing"",""ฉะเชิงเทรา!J229"")+IMPORTRANGE(""https://docs.google.com/spreadsheets/d/11tr1B-Bhyr79v2bkwVh5h_fR-PStkgjlZtkrZpYurG0/"&amp;"edit?usp=sharing"",""ชลบุรี!J229"")+IMPORTRANGE(""https://docs.google.com/spreadsheets/d/1hh-FVnSX0vozXhGluamEcS54Dw9_zqW0N7qJUWgJ0Sw/edit?usp=sharing"",""ชัยนาท!J229"")+IMPORTRANGE(""https://docs.google.com/spreadsheets/d/1jkqa6GXxSacMcY1eN8AHjMNJ_7dDXMJ"&amp;"VRLDlaFSOdPM/edit?usp=sharing"",""ตราด!J229"")+IMPORTRANGE(""https://docs.google.com/spreadsheets/d/18hSgUJ3VwClqi_qtULmmW3cLr0oe3OKaSYoKzdpTsYQ/edit?usp=sharing"",""นครนายก!J229"")+IMPORTRANGE(""https://docs.google.com/spreadsheets/d/1YTZo6WM2dQ6Ix6FSdnL"&amp;"5P7uVnVKu40sxZu975tgG10E/edit?usp=sharing"",""นครปฐม!J229"")+IMPORTRANGE(""https://docs.google.com/spreadsheets/d/1OYoGg4WDg5RIzwGeB10padOxJF9E_Vljuvvct_M7RDo/edit?usp=sharing"",""ปทุมธานี!J229"")+IMPORTRANGE(""https://docs.google.com/spreadsheets/d/1GbCI"&amp;"E4D4wk9FUozzqk7SxfDMxDVBwVmI5zcaVUSzKAc/edit?usp=sharing"",""ประจวบคีรีขันธ์!J229"")+IMPORTRANGE(""https://docs.google.com/spreadsheets/d/1vVf6wykvW_lAyu7Yo9L4hUTqHqIeP_qcVuxCtosJEbg/edit?usp=sharing"",""ปราจีนบุรี!J229"")+IMPORTRANGE(""https://docs.googl"&amp;"e.com/spreadsheets/d/1BIDqLLg5jk3v59G8NlR8rk5xfQDKne0sAvZHSj7TI6I/edit?usp=sharing"",""พระนครศรีอยุธยา!J229"")+IMPORTRANGE(""https://docs.google.com/spreadsheets/d/1YXvxf8Yu6_rV4hTBrwMqAcAnv6DfhUxh5emyM3CJp_w/edit?usp=sharing"",""เพชรบุรี!J229"")+IMPORTRA"&amp;"NGE(""https://docs.google.com/spreadsheets/d/19KBlQQs7uwvsao6t2n-KvW3Ax8J8uRRfZPq1zPbXgKc/edit?usp=sharing"",""ระยอง!J229"")+IMPORTRANGE(""https://docs.google.com/spreadsheets/d/1jQ6P4QcrGM89YfqcC_PxOHGCMq5ezhucwJd8ci-NHng/edit?usp=sharing"",""ราชบุรี!J22"&amp;"9"")+IMPORTRANGE(""https://docs.google.com/spreadsheets/d/1lufeA2cfFqM-elVq2hznhDzC6Pr7wkJ9ZG_sYNGCMCU/edit?usp=sharing"",""ลพบุรี!J229"")+IMPORTRANGE(""https://docs.google.com/spreadsheets/d/10oOiF7loTyfsTkbd4MpaIm0HQ9SwB7IYHdIUvt-U1Uc/edit?usp=sharing"""&amp;",""สระแก้ว!J229"")+IMPORTRANGE(""https://docs.google.com/spreadsheets/d/1xmPlrr1QbdSIKvl1dWUl9K4PjAfSL9oeMr_37QVzcxc/edit?usp=sharing"",""สระบุรี!J229"")+IMPORTRANGE(""https://docs.google.com/spreadsheets/d/1j51vR6CYVGhABJpv6tkstgok82RLpXieLzW1yOY5rHw/edi"&amp;"t?usp=sharing"",""สิงห์บุรี!J229"")+IMPORTRANGE(""https://docs.google.com/spreadsheets/d/1H1EalTWKUSzO4Z1-1CwzoDUaVffgrThEBe2sl74kKG0/edit?usp=sharing"",""สุพรรณบุรี!J229"")+IMPORTRANGE(""https://docs.google.com/spreadsheets/d/1BmIruG_sIrJLYao_Pdr7zVArWsf"&amp;"oBt2692TMi6x_854/edit?usp=sharing"",""อ่างทอง!J229"")"),0)</f>
        <v>0</v>
      </c>
      <c r="K229" s="183">
        <f t="shared" ca="1" si="105"/>
        <v>0</v>
      </c>
      <c r="L229" s="58"/>
      <c r="M229" s="58"/>
      <c r="N229" s="58"/>
      <c r="O229" s="58"/>
      <c r="P229" s="58"/>
    </row>
    <row r="230" spans="1:16" ht="18.75" x14ac:dyDescent="0.25">
      <c r="A230" s="167"/>
      <c r="B230" s="168"/>
      <c r="C230" s="168"/>
      <c r="D230" s="60" t="s">
        <v>98</v>
      </c>
      <c r="E230" s="174"/>
      <c r="F230" s="174"/>
      <c r="G230" s="172"/>
      <c r="H230" s="180" t="s">
        <v>33</v>
      </c>
      <c r="I230" s="196">
        <f ca="1">IFERROR(__xludf.DUMMYFUNCTION("IMPORTRANGE(""https://docs.google.com/spreadsheets/d/13wPX838HrBrQMCywv1BsuMkt4PEKTChp52zj44s2izQ/edit?usp=sharing"",""กาญจนบุรี!I230"")+IMPORTRANGE(""https://docs.google.com/spreadsheets/d/1ddFKvqj1W1NEiWytbGlB1zMx_ykJDVtmfEQ-6-lIUBA/edit?usp=sharing"","&amp;"""จันทบุรี!I230"")+IMPORTRANGE(""https://docs.google.com/spreadsheets/d/1T1PQvRODqOBZk8BRht_U031fIS1beLA0Ub2CEytj2q0/edit?usp=sharing"",""ฉะเชิงเทรา!I230"")+IMPORTRANGE(""https://docs.google.com/spreadsheets/d/11tr1B-Bhyr79v2bkwVh5h_fR-PStkgjlZtkrZpYurG0/"&amp;"edit?usp=sharing"",""ชลบุรี!I230"")+IMPORTRANGE(""https://docs.google.com/spreadsheets/d/1hh-FVnSX0vozXhGluamEcS54Dw9_zqW0N7qJUWgJ0Sw/edit?usp=sharing"",""ชัยนาท!I230"")+IMPORTRANGE(""https://docs.google.com/spreadsheets/d/1jkqa6GXxSacMcY1eN8AHjMNJ_7dDXMJ"&amp;"VRLDlaFSOdPM/edit?usp=sharing"",""ตราด!I230"")+IMPORTRANGE(""https://docs.google.com/spreadsheets/d/18hSgUJ3VwClqi_qtULmmW3cLr0oe3OKaSYoKzdpTsYQ/edit?usp=sharing"",""นครนายก!I230"")+IMPORTRANGE(""https://docs.google.com/spreadsheets/d/1YTZo6WM2dQ6Ix6FSdnL"&amp;"5P7uVnVKu40sxZu975tgG10E/edit?usp=sharing"",""นครปฐม!I230"")+IMPORTRANGE(""https://docs.google.com/spreadsheets/d/1OYoGg4WDg5RIzwGeB10padOxJF9E_Vljuvvct_M7RDo/edit?usp=sharing"",""ปทุมธานี!I230"")+IMPORTRANGE(""https://docs.google.com/spreadsheets/d/1GbCI"&amp;"E4D4wk9FUozzqk7SxfDMxDVBwVmI5zcaVUSzKAc/edit?usp=sharing"",""ประจวบคีรีขันธ์!I230"")+IMPORTRANGE(""https://docs.google.com/spreadsheets/d/1vVf6wykvW_lAyu7Yo9L4hUTqHqIeP_qcVuxCtosJEbg/edit?usp=sharing"",""ปราจีนบุรี!I230"")+IMPORTRANGE(""https://docs.googl"&amp;"e.com/spreadsheets/d/1BIDqLLg5jk3v59G8NlR8rk5xfQDKne0sAvZHSj7TI6I/edit?usp=sharing"",""พระนครศรีอยุธยา!I230"")+IMPORTRANGE(""https://docs.google.com/spreadsheets/d/1YXvxf8Yu6_rV4hTBrwMqAcAnv6DfhUxh5emyM3CJp_w/edit?usp=sharing"",""เพชรบุรี!I230"")+IMPORTRA"&amp;"NGE(""https://docs.google.com/spreadsheets/d/19KBlQQs7uwvsao6t2n-KvW3Ax8J8uRRfZPq1zPbXgKc/edit?usp=sharing"",""ระยอง!I230"")+IMPORTRANGE(""https://docs.google.com/spreadsheets/d/1jQ6P4QcrGM89YfqcC_PxOHGCMq5ezhucwJd8ci-NHng/edit?usp=sharing"",""ราชบุรี!I23"&amp;"0"")+IMPORTRANGE(""https://docs.google.com/spreadsheets/d/1lufeA2cfFqM-elVq2hznhDzC6Pr7wkJ9ZG_sYNGCMCU/edit?usp=sharing"",""ลพบุรี!I230"")+IMPORTRANGE(""https://docs.google.com/spreadsheets/d/10oOiF7loTyfsTkbd4MpaIm0HQ9SwB7IYHdIUvt-U1Uc/edit?usp=sharing"""&amp;",""สระแก้ว!I230"")+IMPORTRANGE(""https://docs.google.com/spreadsheets/d/1xmPlrr1QbdSIKvl1dWUl9K4PjAfSL9oeMr_37QVzcxc/edit?usp=sharing"",""สระบุรี!I230"")+IMPORTRANGE(""https://docs.google.com/spreadsheets/d/1j51vR6CYVGhABJpv6tkstgok82RLpXieLzW1yOY5rHw/edi"&amp;"t?usp=sharing"",""สิงห์บุรี!I230"")+IMPORTRANGE(""https://docs.google.com/spreadsheets/d/1H1EalTWKUSzO4Z1-1CwzoDUaVffgrThEBe2sl74kKG0/edit?usp=sharing"",""สุพรรณบุรี!I230"")+IMPORTRANGE(""https://docs.google.com/spreadsheets/d/1BmIruG_sIrJLYao_Pdr7zVArWsf"&amp;"oBt2692TMi6x_854/edit?usp=sharing"",""อ่างทอง!I230"")"),0)</f>
        <v>0</v>
      </c>
      <c r="J230" s="196">
        <f ca="1">IFERROR(__xludf.DUMMYFUNCTION("IMPORTRANGE(""https://docs.google.com/spreadsheets/d/13wPX838HrBrQMCywv1BsuMkt4PEKTChp52zj44s2izQ/edit?usp=sharing"",""กาญจนบุรี!J230"")+IMPORTRANGE(""https://docs.google.com/spreadsheets/d/1ddFKvqj1W1NEiWytbGlB1zMx_ykJDVtmfEQ-6-lIUBA/edit?usp=sharing"","&amp;"""จันทบุรี!J230"")+IMPORTRANGE(""https://docs.google.com/spreadsheets/d/1T1PQvRODqOBZk8BRht_U031fIS1beLA0Ub2CEytj2q0/edit?usp=sharing"",""ฉะเชิงเทรา!J230"")+IMPORTRANGE(""https://docs.google.com/spreadsheets/d/11tr1B-Bhyr79v2bkwVh5h_fR-PStkgjlZtkrZpYurG0/"&amp;"edit?usp=sharing"",""ชลบุรี!J230"")+IMPORTRANGE(""https://docs.google.com/spreadsheets/d/1hh-FVnSX0vozXhGluamEcS54Dw9_zqW0N7qJUWgJ0Sw/edit?usp=sharing"",""ชัยนาท!J230"")+IMPORTRANGE(""https://docs.google.com/spreadsheets/d/1jkqa6GXxSacMcY1eN8AHjMNJ_7dDXMJ"&amp;"VRLDlaFSOdPM/edit?usp=sharing"",""ตราด!J230"")+IMPORTRANGE(""https://docs.google.com/spreadsheets/d/18hSgUJ3VwClqi_qtULmmW3cLr0oe3OKaSYoKzdpTsYQ/edit?usp=sharing"",""นครนายก!J230"")+IMPORTRANGE(""https://docs.google.com/spreadsheets/d/1YTZo6WM2dQ6Ix6FSdnL"&amp;"5P7uVnVKu40sxZu975tgG10E/edit?usp=sharing"",""นครปฐม!J230"")+IMPORTRANGE(""https://docs.google.com/spreadsheets/d/1OYoGg4WDg5RIzwGeB10padOxJF9E_Vljuvvct_M7RDo/edit?usp=sharing"",""ปทุมธานี!J230"")+IMPORTRANGE(""https://docs.google.com/spreadsheets/d/1GbCI"&amp;"E4D4wk9FUozzqk7SxfDMxDVBwVmI5zcaVUSzKAc/edit?usp=sharing"",""ประจวบคีรีขันธ์!J230"")+IMPORTRANGE(""https://docs.google.com/spreadsheets/d/1vVf6wykvW_lAyu7Yo9L4hUTqHqIeP_qcVuxCtosJEbg/edit?usp=sharing"",""ปราจีนบุรี!J230"")+IMPORTRANGE(""https://docs.googl"&amp;"e.com/spreadsheets/d/1BIDqLLg5jk3v59G8NlR8rk5xfQDKne0sAvZHSj7TI6I/edit?usp=sharing"",""พระนครศรีอยุธยา!J230"")+IMPORTRANGE(""https://docs.google.com/spreadsheets/d/1YXvxf8Yu6_rV4hTBrwMqAcAnv6DfhUxh5emyM3CJp_w/edit?usp=sharing"",""เพชรบุรี!J230"")+IMPORTRA"&amp;"NGE(""https://docs.google.com/spreadsheets/d/19KBlQQs7uwvsao6t2n-KvW3Ax8J8uRRfZPq1zPbXgKc/edit?usp=sharing"",""ระยอง!J230"")+IMPORTRANGE(""https://docs.google.com/spreadsheets/d/1jQ6P4QcrGM89YfqcC_PxOHGCMq5ezhucwJd8ci-NHng/edit?usp=sharing"",""ราชบุรี!J23"&amp;"0"")+IMPORTRANGE(""https://docs.google.com/spreadsheets/d/1lufeA2cfFqM-elVq2hznhDzC6Pr7wkJ9ZG_sYNGCMCU/edit?usp=sharing"",""ลพบุรี!J230"")+IMPORTRANGE(""https://docs.google.com/spreadsheets/d/10oOiF7loTyfsTkbd4MpaIm0HQ9SwB7IYHdIUvt-U1Uc/edit?usp=sharing"""&amp;",""สระแก้ว!J230"")+IMPORTRANGE(""https://docs.google.com/spreadsheets/d/1xmPlrr1QbdSIKvl1dWUl9K4PjAfSL9oeMr_37QVzcxc/edit?usp=sharing"",""สระบุรี!J230"")+IMPORTRANGE(""https://docs.google.com/spreadsheets/d/1j51vR6CYVGhABJpv6tkstgok82RLpXieLzW1yOY5rHw/edi"&amp;"t?usp=sharing"",""สิงห์บุรี!J230"")+IMPORTRANGE(""https://docs.google.com/spreadsheets/d/1H1EalTWKUSzO4Z1-1CwzoDUaVffgrThEBe2sl74kKG0/edit?usp=sharing"",""สุพรรณบุรี!J230"")+IMPORTRANGE(""https://docs.google.com/spreadsheets/d/1BmIruG_sIrJLYao_Pdr7zVArWsf"&amp;"oBt2692TMi6x_854/edit?usp=sharing"",""อ่างทอง!J230"")"),0)</f>
        <v>0</v>
      </c>
      <c r="K230" s="183">
        <f t="shared" ca="1" si="105"/>
        <v>0</v>
      </c>
      <c r="L230" s="58"/>
      <c r="M230" s="58"/>
      <c r="N230" s="58"/>
      <c r="O230" s="58"/>
      <c r="P230" s="58"/>
    </row>
    <row r="231" spans="1:16" ht="19.5" x14ac:dyDescent="0.3">
      <c r="A231" s="281"/>
      <c r="B231" s="282"/>
      <c r="C231" s="283" t="s">
        <v>99</v>
      </c>
      <c r="D231" s="284"/>
      <c r="E231" s="284"/>
      <c r="F231" s="284"/>
      <c r="G231" s="285"/>
      <c r="H231" s="286" t="s">
        <v>33</v>
      </c>
      <c r="I231" s="287">
        <f t="shared" ref="I231:J231" si="106">I242+I253</f>
        <v>0</v>
      </c>
      <c r="J231" s="287">
        <f t="shared" si="106"/>
        <v>0</v>
      </c>
      <c r="K231" s="288">
        <f t="shared" si="105"/>
        <v>0</v>
      </c>
      <c r="L231" s="289"/>
      <c r="M231" s="289"/>
      <c r="N231" s="289"/>
      <c r="O231" s="289"/>
      <c r="P231" s="289"/>
    </row>
    <row r="232" spans="1:16" ht="19.5" x14ac:dyDescent="0.3">
      <c r="A232" s="157"/>
      <c r="B232" s="53"/>
      <c r="C232" s="158" t="s">
        <v>16</v>
      </c>
      <c r="D232" s="159" t="s">
        <v>17</v>
      </c>
      <c r="E232" s="53"/>
      <c r="F232" s="53"/>
      <c r="G232" s="55"/>
      <c r="H232" s="291" t="s">
        <v>12</v>
      </c>
      <c r="I232" s="164"/>
      <c r="J232" s="164"/>
      <c r="K232" s="165"/>
      <c r="L232" s="161">
        <f ca="1">L233+L234+L235+L236</f>
        <v>983900</v>
      </c>
      <c r="M232" s="58"/>
      <c r="N232" s="161">
        <f ca="1">N233+N234+N235+N236</f>
        <v>156868</v>
      </c>
      <c r="O232" s="161">
        <f ca="1">IF(L232&gt;0,N232*100/L232,0)</f>
        <v>15.943490192092693</v>
      </c>
      <c r="P232" s="58"/>
    </row>
    <row r="233" spans="1:16" ht="18.75" x14ac:dyDescent="0.25">
      <c r="A233" s="157"/>
      <c r="B233" s="280"/>
      <c r="C233" s="53"/>
      <c r="D233" s="60" t="s">
        <v>80</v>
      </c>
      <c r="E233" s="53"/>
      <c r="F233" s="53"/>
      <c r="G233" s="55"/>
      <c r="H233" s="163" t="s">
        <v>12</v>
      </c>
      <c r="I233" s="164"/>
      <c r="J233" s="164"/>
      <c r="K233" s="165"/>
      <c r="L233" s="59">
        <f ca="1">IFERROR(__xludf.DUMMYFUNCTION("IMPORTRANGE(""https://docs.google.com/spreadsheets/d/13wPX838HrBrQMCywv1BsuMkt4PEKTChp52zj44s2izQ/edit?usp=sharing"",""กาญจนบุรี!L233"")+IMPORTRANGE(""https://docs.google.com/spreadsheets/d/1ddFKvqj1W1NEiWytbGlB1zMx_ykJDVtmfEQ-6-lIUBA/edit?usp=sharing"","&amp;"""จันทบุรี!L233"")+IMPORTRANGE(""https://docs.google.com/spreadsheets/d/1T1PQvRODqOBZk8BRht_U031fIS1beLA0Ub2CEytj2q0/edit?usp=sharing"",""ฉะเชิงเทรา!L233"")+IMPORTRANGE(""https://docs.google.com/spreadsheets/d/11tr1B-Bhyr79v2bkwVh5h_fR-PStkgjlZtkrZpYurG0/"&amp;"edit?usp=sharing"",""ชลบุรี!L233"")+IMPORTRANGE(""https://docs.google.com/spreadsheets/d/1hh-FVnSX0vozXhGluamEcS54Dw9_zqW0N7qJUWgJ0Sw/edit?usp=sharing"",""ชัยนาท!L233"")+IMPORTRANGE(""https://docs.google.com/spreadsheets/d/1jkqa6GXxSacMcY1eN8AHjMNJ_7dDXMJ"&amp;"VRLDlaFSOdPM/edit?usp=sharing"",""ตราด!L233"")+IMPORTRANGE(""https://docs.google.com/spreadsheets/d/18hSgUJ3VwClqi_qtULmmW3cLr0oe3OKaSYoKzdpTsYQ/edit?usp=sharing"",""นครนายก!L233"")+IMPORTRANGE(""https://docs.google.com/spreadsheets/d/1YTZo6WM2dQ6Ix6FSdnL"&amp;"5P7uVnVKu40sxZu975tgG10E/edit?usp=sharing"",""นครปฐม!L233"")+IMPORTRANGE(""https://docs.google.com/spreadsheets/d/1OYoGg4WDg5RIzwGeB10padOxJF9E_Vljuvvct_M7RDo/edit?usp=sharing"",""ปทุมธานี!L233"")+IMPORTRANGE(""https://docs.google.com/spreadsheets/d/1GbCI"&amp;"E4D4wk9FUozzqk7SxfDMxDVBwVmI5zcaVUSzKAc/edit?usp=sharing"",""ประจวบคีรีขันธ์!L233"")+IMPORTRANGE(""https://docs.google.com/spreadsheets/d/1vVf6wykvW_lAyu7Yo9L4hUTqHqIeP_qcVuxCtosJEbg/edit?usp=sharing"",""ปราจีนบุรี!L233"")+IMPORTRANGE(""https://docs.googl"&amp;"e.com/spreadsheets/d/1BIDqLLg5jk3v59G8NlR8rk5xfQDKne0sAvZHSj7TI6I/edit?usp=sharing"",""พระนครศรีอยุธยา!L233"")+IMPORTRANGE(""https://docs.google.com/spreadsheets/d/1YXvxf8Yu6_rV4hTBrwMqAcAnv6DfhUxh5emyM3CJp_w/edit?usp=sharing"",""เพชรบุรี!L233"")+IMPORTRA"&amp;"NGE(""https://docs.google.com/spreadsheets/d/19KBlQQs7uwvsao6t2n-KvW3Ax8J8uRRfZPq1zPbXgKc/edit?usp=sharing"",""ระยอง!L233"")+IMPORTRANGE(""https://docs.google.com/spreadsheets/d/1jQ6P4QcrGM89YfqcC_PxOHGCMq5ezhucwJd8ci-NHng/edit?usp=sharing"",""ราชบุรี!L23"&amp;"3"")+IMPORTRANGE(""https://docs.google.com/spreadsheets/d/1lufeA2cfFqM-elVq2hznhDzC6Pr7wkJ9ZG_sYNGCMCU/edit?usp=sharing"",""ลพบุรี!L233"")+IMPORTRANGE(""https://docs.google.com/spreadsheets/d/10oOiF7loTyfsTkbd4MpaIm0HQ9SwB7IYHdIUvt-U1Uc/edit?usp=sharing"""&amp;",""สระแก้ว!L233"")+IMPORTRANGE(""https://docs.google.com/spreadsheets/d/1xmPlrr1QbdSIKvl1dWUl9K4PjAfSL9oeMr_37QVzcxc/edit?usp=sharing"",""สระบุรี!L233"")+IMPORTRANGE(""https://docs.google.com/spreadsheets/d/1j51vR6CYVGhABJpv6tkstgok82RLpXieLzW1yOY5rHw/edi"&amp;"t?usp=sharing"",""สิงห์บุรี!L233"")+IMPORTRANGE(""https://docs.google.com/spreadsheets/d/1H1EalTWKUSzO4Z1-1CwzoDUaVffgrThEBe2sl74kKG0/edit?usp=sharing"",""สุพรรณบุรี!L233"")+IMPORTRANGE(""https://docs.google.com/spreadsheets/d/1BmIruG_sIrJLYao_Pdr7zVArWsf"&amp;"oBt2692TMi6x_854/edit?usp=sharing"",""อ่างทอง!L233"")"),189000)</f>
        <v>189000</v>
      </c>
      <c r="M233" s="58"/>
      <c r="N233" s="59">
        <f ca="1">IFERROR(__xludf.DUMMYFUNCTION("IMPORTRANGE(""https://docs.google.com/spreadsheets/d/13wPX838HrBrQMCywv1BsuMkt4PEKTChp52zj44s2izQ/edit?usp=sharing"",""กาญจนบุรี!N233"")+IMPORTRANGE(""https://docs.google.com/spreadsheets/d/1ddFKvqj1W1NEiWytbGlB1zMx_ykJDVtmfEQ-6-lIUBA/edit?usp=sharing"","&amp;"""จันทบุรี!N233"")+IMPORTRANGE(""https://docs.google.com/spreadsheets/d/1T1PQvRODqOBZk8BRht_U031fIS1beLA0Ub2CEytj2q0/edit?usp=sharing"",""ฉะเชิงเทรา!N233"")+IMPORTRANGE(""https://docs.google.com/spreadsheets/d/11tr1B-Bhyr79v2bkwVh5h_fR-PStkgjlZtkrZpYurG0/"&amp;"edit?usp=sharing"",""ชลบุรี!N233"")+IMPORTRANGE(""https://docs.google.com/spreadsheets/d/1hh-FVnSX0vozXhGluamEcS54Dw9_zqW0N7qJUWgJ0Sw/edit?usp=sharing"",""ชัยนาท!N233"")+IMPORTRANGE(""https://docs.google.com/spreadsheets/d/1jkqa6GXxSacMcY1eN8AHjMNJ_7dDXMJ"&amp;"VRLDlaFSOdPM/edit?usp=sharing"",""ตราด!N233"")+IMPORTRANGE(""https://docs.google.com/spreadsheets/d/18hSgUJ3VwClqi_qtULmmW3cLr0oe3OKaSYoKzdpTsYQ/edit?usp=sharing"",""นครนายก!N233"")+IMPORTRANGE(""https://docs.google.com/spreadsheets/d/1YTZo6WM2dQ6Ix6FSdnL"&amp;"5P7uVnVKu40sxZu975tgG10E/edit?usp=sharing"",""นครปฐม!N233"")+IMPORTRANGE(""https://docs.google.com/spreadsheets/d/1OYoGg4WDg5RIzwGeB10padOxJF9E_Vljuvvct_M7RDo/edit?usp=sharing"",""ปทุมธานี!N233"")+IMPORTRANGE(""https://docs.google.com/spreadsheets/d/1GbCI"&amp;"E4D4wk9FUozzqk7SxfDMxDVBwVmI5zcaVUSzKAc/edit?usp=sharing"",""ประจวบคีรีขันธ์!N233"")+IMPORTRANGE(""https://docs.google.com/spreadsheets/d/1vVf6wykvW_lAyu7Yo9L4hUTqHqIeP_qcVuxCtosJEbg/edit?usp=sharing"",""ปราจีนบุรี!N233"")+IMPORTRANGE(""https://docs.googl"&amp;"e.com/spreadsheets/d/1BIDqLLg5jk3v59G8NlR8rk5xfQDKne0sAvZHSj7TI6I/edit?usp=sharing"",""พระนครศรีอยุธยา!N233"")+IMPORTRANGE(""https://docs.google.com/spreadsheets/d/1YXvxf8Yu6_rV4hTBrwMqAcAnv6DfhUxh5emyM3CJp_w/edit?usp=sharing"",""เพชรบุรี!N233"")+IMPORTRA"&amp;"NGE(""https://docs.google.com/spreadsheets/d/19KBlQQs7uwvsao6t2n-KvW3Ax8J8uRRfZPq1zPbXgKc/edit?usp=sharing"",""ระยอง!N233"")+IMPORTRANGE(""https://docs.google.com/spreadsheets/d/1jQ6P4QcrGM89YfqcC_PxOHGCMq5ezhucwJd8ci-NHng/edit?usp=sharing"",""ราชบุรี!N23"&amp;"3"")+IMPORTRANGE(""https://docs.google.com/spreadsheets/d/1lufeA2cfFqM-elVq2hznhDzC6Pr7wkJ9ZG_sYNGCMCU/edit?usp=sharing"",""ลพบุรี!N233"")+IMPORTRANGE(""https://docs.google.com/spreadsheets/d/10oOiF7loTyfsTkbd4MpaIm0HQ9SwB7IYHdIUvt-U1Uc/edit?usp=sharing"""&amp;",""สระแก้ว!N233"")+IMPORTRANGE(""https://docs.google.com/spreadsheets/d/1xmPlrr1QbdSIKvl1dWUl9K4PjAfSL9oeMr_37QVzcxc/edit?usp=sharing"",""สระบุรี!N233"")+IMPORTRANGE(""https://docs.google.com/spreadsheets/d/1j51vR6CYVGhABJpv6tkstgok82RLpXieLzW1yOY5rHw/edi"&amp;"t?usp=sharing"",""สิงห์บุรี!N233"")+IMPORTRANGE(""https://docs.google.com/spreadsheets/d/1H1EalTWKUSzO4Z1-1CwzoDUaVffgrThEBe2sl74kKG0/edit?usp=sharing"",""สุพรรณบุรี!N233"")+IMPORTRANGE(""https://docs.google.com/spreadsheets/d/1BmIruG_sIrJLYao_Pdr7zVArWsf"&amp;"oBt2692TMi6x_854/edit?usp=sharing"",""อ่างทอง!N233"")"),26018)</f>
        <v>26018</v>
      </c>
      <c r="O233" s="58"/>
      <c r="P233" s="58"/>
    </row>
    <row r="234" spans="1:16" ht="18.75" x14ac:dyDescent="0.25">
      <c r="A234" s="276"/>
      <c r="B234" s="280"/>
      <c r="C234" s="280"/>
      <c r="D234" s="60" t="s">
        <v>82</v>
      </c>
      <c r="E234" s="53"/>
      <c r="F234" s="53"/>
      <c r="G234" s="55"/>
      <c r="H234" s="163" t="s">
        <v>12</v>
      </c>
      <c r="I234" s="57"/>
      <c r="J234" s="57"/>
      <c r="K234" s="58"/>
      <c r="L234" s="59">
        <f ca="1">IFERROR(__xludf.DUMMYFUNCTION("IMPORTRANGE(""https://docs.google.com/spreadsheets/d/13wPX838HrBrQMCywv1BsuMkt4PEKTChp52zj44s2izQ/edit?usp=sharing"",""กาญจนบุรี!L234"")+IMPORTRANGE(""https://docs.google.com/spreadsheets/d/1ddFKvqj1W1NEiWytbGlB1zMx_ykJDVtmfEQ-6-lIUBA/edit?usp=sharing"","&amp;"""จันทบุรี!L234"")+IMPORTRANGE(""https://docs.google.com/spreadsheets/d/1T1PQvRODqOBZk8BRht_U031fIS1beLA0Ub2CEytj2q0/edit?usp=sharing"",""ฉะเชิงเทรา!L234"")+IMPORTRANGE(""https://docs.google.com/spreadsheets/d/11tr1B-Bhyr79v2bkwVh5h_fR-PStkgjlZtkrZpYurG0/"&amp;"edit?usp=sharing"",""ชลบุรี!L234"")+IMPORTRANGE(""https://docs.google.com/spreadsheets/d/1hh-FVnSX0vozXhGluamEcS54Dw9_zqW0N7qJUWgJ0Sw/edit?usp=sharing"",""ชัยนาท!L234"")+IMPORTRANGE(""https://docs.google.com/spreadsheets/d/1jkqa6GXxSacMcY1eN8AHjMNJ_7dDXMJ"&amp;"VRLDlaFSOdPM/edit?usp=sharing"",""ตราด!L234"")+IMPORTRANGE(""https://docs.google.com/spreadsheets/d/18hSgUJ3VwClqi_qtULmmW3cLr0oe3OKaSYoKzdpTsYQ/edit?usp=sharing"",""นครนายก!L234"")+IMPORTRANGE(""https://docs.google.com/spreadsheets/d/1YTZo6WM2dQ6Ix6FSdnL"&amp;"5P7uVnVKu40sxZu975tgG10E/edit?usp=sharing"",""นครปฐม!L234"")+IMPORTRANGE(""https://docs.google.com/spreadsheets/d/1OYoGg4WDg5RIzwGeB10padOxJF9E_Vljuvvct_M7RDo/edit?usp=sharing"",""ปทุมธานี!L234"")+IMPORTRANGE(""https://docs.google.com/spreadsheets/d/1GbCI"&amp;"E4D4wk9FUozzqk7SxfDMxDVBwVmI5zcaVUSzKAc/edit?usp=sharing"",""ประจวบคีรีขันธ์!L234"")+IMPORTRANGE(""https://docs.google.com/spreadsheets/d/1vVf6wykvW_lAyu7Yo9L4hUTqHqIeP_qcVuxCtosJEbg/edit?usp=sharing"",""ปราจีนบุรี!L234"")+IMPORTRANGE(""https://docs.googl"&amp;"e.com/spreadsheets/d/1BIDqLLg5jk3v59G8NlR8rk5xfQDKne0sAvZHSj7TI6I/edit?usp=sharing"",""พระนครศรีอยุธยา!L234"")+IMPORTRANGE(""https://docs.google.com/spreadsheets/d/1YXvxf8Yu6_rV4hTBrwMqAcAnv6DfhUxh5emyM3CJp_w/edit?usp=sharing"",""เพชรบุรี!L234"")+IMPORTRA"&amp;"NGE(""https://docs.google.com/spreadsheets/d/19KBlQQs7uwvsao6t2n-KvW3Ax8J8uRRfZPq1zPbXgKc/edit?usp=sharing"",""ระยอง!L234"")+IMPORTRANGE(""https://docs.google.com/spreadsheets/d/1jQ6P4QcrGM89YfqcC_PxOHGCMq5ezhucwJd8ci-NHng/edit?usp=sharing"",""ราชบุรี!L23"&amp;"4"")+IMPORTRANGE(""https://docs.google.com/spreadsheets/d/1lufeA2cfFqM-elVq2hznhDzC6Pr7wkJ9ZG_sYNGCMCU/edit?usp=sharing"",""ลพบุรี!L234"")+IMPORTRANGE(""https://docs.google.com/spreadsheets/d/10oOiF7loTyfsTkbd4MpaIm0HQ9SwB7IYHdIUvt-U1Uc/edit?usp=sharing"""&amp;",""สระแก้ว!L234"")+IMPORTRANGE(""https://docs.google.com/spreadsheets/d/1xmPlrr1QbdSIKvl1dWUl9K4PjAfSL9oeMr_37QVzcxc/edit?usp=sharing"",""สระบุรี!L234"")+IMPORTRANGE(""https://docs.google.com/spreadsheets/d/1j51vR6CYVGhABJpv6tkstgok82RLpXieLzW1yOY5rHw/edi"&amp;"t?usp=sharing"",""สิงห์บุรี!L234"")+IMPORTRANGE(""https://docs.google.com/spreadsheets/d/1H1EalTWKUSzO4Z1-1CwzoDUaVffgrThEBe2sl74kKG0/edit?usp=sharing"",""สุพรรณบุรี!L234"")+IMPORTRANGE(""https://docs.google.com/spreadsheets/d/1BmIruG_sIrJLYao_Pdr7zVArWsf"&amp;"oBt2692TMi6x_854/edit?usp=sharing"",""อ่างทอง!L234"")"),31000)</f>
        <v>31000</v>
      </c>
      <c r="M234" s="58"/>
      <c r="N234" s="59">
        <f ca="1">IFERROR(__xludf.DUMMYFUNCTION("IMPORTRANGE(""https://docs.google.com/spreadsheets/d/13wPX838HrBrQMCywv1BsuMkt4PEKTChp52zj44s2izQ/edit?usp=sharing"",""กาญจนบุรี!N234"")+IMPORTRANGE(""https://docs.google.com/spreadsheets/d/1ddFKvqj1W1NEiWytbGlB1zMx_ykJDVtmfEQ-6-lIUBA/edit?usp=sharing"","&amp;"""จันทบุรี!N234"")+IMPORTRANGE(""https://docs.google.com/spreadsheets/d/1T1PQvRODqOBZk8BRht_U031fIS1beLA0Ub2CEytj2q0/edit?usp=sharing"",""ฉะเชิงเทรา!N234"")+IMPORTRANGE(""https://docs.google.com/spreadsheets/d/11tr1B-Bhyr79v2bkwVh5h_fR-PStkgjlZtkrZpYurG0/"&amp;"edit?usp=sharing"",""ชลบุรี!N234"")+IMPORTRANGE(""https://docs.google.com/spreadsheets/d/1hh-FVnSX0vozXhGluamEcS54Dw9_zqW0N7qJUWgJ0Sw/edit?usp=sharing"",""ชัยนาท!N234"")+IMPORTRANGE(""https://docs.google.com/spreadsheets/d/1jkqa6GXxSacMcY1eN8AHjMNJ_7dDXMJ"&amp;"VRLDlaFSOdPM/edit?usp=sharing"",""ตราด!N234"")+IMPORTRANGE(""https://docs.google.com/spreadsheets/d/18hSgUJ3VwClqi_qtULmmW3cLr0oe3OKaSYoKzdpTsYQ/edit?usp=sharing"",""นครนายก!N234"")+IMPORTRANGE(""https://docs.google.com/spreadsheets/d/1YTZo6WM2dQ6Ix6FSdnL"&amp;"5P7uVnVKu40sxZu975tgG10E/edit?usp=sharing"",""นครปฐม!N234"")+IMPORTRANGE(""https://docs.google.com/spreadsheets/d/1OYoGg4WDg5RIzwGeB10padOxJF9E_Vljuvvct_M7RDo/edit?usp=sharing"",""ปทุมธานี!N234"")+IMPORTRANGE(""https://docs.google.com/spreadsheets/d/1GbCI"&amp;"E4D4wk9FUozzqk7SxfDMxDVBwVmI5zcaVUSzKAc/edit?usp=sharing"",""ประจวบคีรีขันธ์!N234"")+IMPORTRANGE(""https://docs.google.com/spreadsheets/d/1vVf6wykvW_lAyu7Yo9L4hUTqHqIeP_qcVuxCtosJEbg/edit?usp=sharing"",""ปราจีนบุรี!N234"")+IMPORTRANGE(""https://docs.googl"&amp;"e.com/spreadsheets/d/1BIDqLLg5jk3v59G8NlR8rk5xfQDKne0sAvZHSj7TI6I/edit?usp=sharing"",""พระนครศรีอยุธยา!N234"")+IMPORTRANGE(""https://docs.google.com/spreadsheets/d/1YXvxf8Yu6_rV4hTBrwMqAcAnv6DfhUxh5emyM3CJp_w/edit?usp=sharing"",""เพชรบุรี!N234"")+IMPORTRA"&amp;"NGE(""https://docs.google.com/spreadsheets/d/19KBlQQs7uwvsao6t2n-KvW3Ax8J8uRRfZPq1zPbXgKc/edit?usp=sharing"",""ระยอง!N234"")+IMPORTRANGE(""https://docs.google.com/spreadsheets/d/1jQ6P4QcrGM89YfqcC_PxOHGCMq5ezhucwJd8ci-NHng/edit?usp=sharing"",""ราชบุรี!N23"&amp;"4"")+IMPORTRANGE(""https://docs.google.com/spreadsheets/d/1lufeA2cfFqM-elVq2hznhDzC6Pr7wkJ9ZG_sYNGCMCU/edit?usp=sharing"",""ลพบุรี!N234"")+IMPORTRANGE(""https://docs.google.com/spreadsheets/d/10oOiF7loTyfsTkbd4MpaIm0HQ9SwB7IYHdIUvt-U1Uc/edit?usp=sharing"""&amp;",""สระแก้ว!N234"")+IMPORTRANGE(""https://docs.google.com/spreadsheets/d/1xmPlrr1QbdSIKvl1dWUl9K4PjAfSL9oeMr_37QVzcxc/edit?usp=sharing"",""สระบุรี!N234"")+IMPORTRANGE(""https://docs.google.com/spreadsheets/d/1j51vR6CYVGhABJpv6tkstgok82RLpXieLzW1yOY5rHw/edi"&amp;"t?usp=sharing"",""สิงห์บุรี!N234"")+IMPORTRANGE(""https://docs.google.com/spreadsheets/d/1H1EalTWKUSzO4Z1-1CwzoDUaVffgrThEBe2sl74kKG0/edit?usp=sharing"",""สุพรรณบุรี!N234"")+IMPORTRANGE(""https://docs.google.com/spreadsheets/d/1BmIruG_sIrJLYao_Pdr7zVArWsf"&amp;"oBt2692TMi6x_854/edit?usp=sharing"",""อ่างทอง!N234"")"),26650)</f>
        <v>26650</v>
      </c>
      <c r="O234" s="58"/>
      <c r="P234" s="58"/>
    </row>
    <row r="235" spans="1:16" ht="18.75" x14ac:dyDescent="0.25">
      <c r="A235" s="276"/>
      <c r="B235" s="280"/>
      <c r="C235" s="280"/>
      <c r="D235" s="60" t="s">
        <v>100</v>
      </c>
      <c r="E235" s="53"/>
      <c r="F235" s="53"/>
      <c r="G235" s="55"/>
      <c r="H235" s="163" t="s">
        <v>12</v>
      </c>
      <c r="I235" s="57"/>
      <c r="J235" s="57"/>
      <c r="K235" s="58"/>
      <c r="L235" s="59">
        <f ca="1">IFERROR(__xludf.DUMMYFUNCTION("IMPORTRANGE(""https://docs.google.com/spreadsheets/d/13wPX838HrBrQMCywv1BsuMkt4PEKTChp52zj44s2izQ/edit?usp=sharing"",""กาญจนบุรี!L235"")+IMPORTRANGE(""https://docs.google.com/spreadsheets/d/1ddFKvqj1W1NEiWytbGlB1zMx_ykJDVtmfEQ-6-lIUBA/edit?usp=sharing"","&amp;"""จันทบุรี!L235"")+IMPORTRANGE(""https://docs.google.com/spreadsheets/d/1T1PQvRODqOBZk8BRht_U031fIS1beLA0Ub2CEytj2q0/edit?usp=sharing"",""ฉะเชิงเทรา!L235"")+IMPORTRANGE(""https://docs.google.com/spreadsheets/d/11tr1B-Bhyr79v2bkwVh5h_fR-PStkgjlZtkrZpYurG0/"&amp;"edit?usp=sharing"",""ชลบุรี!L235"")+IMPORTRANGE(""https://docs.google.com/spreadsheets/d/1hh-FVnSX0vozXhGluamEcS54Dw9_zqW0N7qJUWgJ0Sw/edit?usp=sharing"",""ชัยนาท!L235"")+IMPORTRANGE(""https://docs.google.com/spreadsheets/d/1jkqa6GXxSacMcY1eN8AHjMNJ_7dDXMJ"&amp;"VRLDlaFSOdPM/edit?usp=sharing"",""ตราด!L235"")+IMPORTRANGE(""https://docs.google.com/spreadsheets/d/18hSgUJ3VwClqi_qtULmmW3cLr0oe3OKaSYoKzdpTsYQ/edit?usp=sharing"",""นครนายก!L235"")+IMPORTRANGE(""https://docs.google.com/spreadsheets/d/1YTZo6WM2dQ6Ix6FSdnL"&amp;"5P7uVnVKu40sxZu975tgG10E/edit?usp=sharing"",""นครปฐม!L235"")+IMPORTRANGE(""https://docs.google.com/spreadsheets/d/1OYoGg4WDg5RIzwGeB10padOxJF9E_Vljuvvct_M7RDo/edit?usp=sharing"",""ปทุมธานี!L235"")+IMPORTRANGE(""https://docs.google.com/spreadsheets/d/1GbCI"&amp;"E4D4wk9FUozzqk7SxfDMxDVBwVmI5zcaVUSzKAc/edit?usp=sharing"",""ประจวบคีรีขันธ์!L235"")+IMPORTRANGE(""https://docs.google.com/spreadsheets/d/1vVf6wykvW_lAyu7Yo9L4hUTqHqIeP_qcVuxCtosJEbg/edit?usp=sharing"",""ปราจีนบุรี!L235"")+IMPORTRANGE(""https://docs.googl"&amp;"e.com/spreadsheets/d/1BIDqLLg5jk3v59G8NlR8rk5xfQDKne0sAvZHSj7TI6I/edit?usp=sharing"",""พระนครศรีอยุธยา!L235"")+IMPORTRANGE(""https://docs.google.com/spreadsheets/d/1YXvxf8Yu6_rV4hTBrwMqAcAnv6DfhUxh5emyM3CJp_w/edit?usp=sharing"",""เพชรบุรี!L235"")+IMPORTRA"&amp;"NGE(""https://docs.google.com/spreadsheets/d/19KBlQQs7uwvsao6t2n-KvW3Ax8J8uRRfZPq1zPbXgKc/edit?usp=sharing"",""ระยอง!L235"")+IMPORTRANGE(""https://docs.google.com/spreadsheets/d/1jQ6P4QcrGM89YfqcC_PxOHGCMq5ezhucwJd8ci-NHng/edit?usp=sharing"",""ราชบุรี!L23"&amp;"5"")+IMPORTRANGE(""https://docs.google.com/spreadsheets/d/1lufeA2cfFqM-elVq2hznhDzC6Pr7wkJ9ZG_sYNGCMCU/edit?usp=sharing"",""ลพบุรี!L235"")+IMPORTRANGE(""https://docs.google.com/spreadsheets/d/10oOiF7loTyfsTkbd4MpaIm0HQ9SwB7IYHdIUvt-U1Uc/edit?usp=sharing"""&amp;",""สระแก้ว!L235"")+IMPORTRANGE(""https://docs.google.com/spreadsheets/d/1xmPlrr1QbdSIKvl1dWUl9K4PjAfSL9oeMr_37QVzcxc/edit?usp=sharing"",""สระบุรี!L235"")+IMPORTRANGE(""https://docs.google.com/spreadsheets/d/1j51vR6CYVGhABJpv6tkstgok82RLpXieLzW1yOY5rHw/edi"&amp;"t?usp=sharing"",""สิงห์บุรี!L235"")+IMPORTRANGE(""https://docs.google.com/spreadsheets/d/1H1EalTWKUSzO4Z1-1CwzoDUaVffgrThEBe2sl74kKG0/edit?usp=sharing"",""สุพรรณบุรี!L235"")+IMPORTRANGE(""https://docs.google.com/spreadsheets/d/1BmIruG_sIrJLYao_Pdr7zVArWsf"&amp;"oBt2692TMi6x_854/edit?usp=sharing"",""อ่างทอง!L235"")"),397900)</f>
        <v>397900</v>
      </c>
      <c r="M235" s="58"/>
      <c r="N235" s="59">
        <f ca="1">IFERROR(__xludf.DUMMYFUNCTION("IMPORTRANGE(""https://docs.google.com/spreadsheets/d/13wPX838HrBrQMCywv1BsuMkt4PEKTChp52zj44s2izQ/edit?usp=sharing"",""กาญจนบุรี!N235"")+IMPORTRANGE(""https://docs.google.com/spreadsheets/d/1ddFKvqj1W1NEiWytbGlB1zMx_ykJDVtmfEQ-6-lIUBA/edit?usp=sharing"","&amp;"""จันทบุรี!N235"")+IMPORTRANGE(""https://docs.google.com/spreadsheets/d/1T1PQvRODqOBZk8BRht_U031fIS1beLA0Ub2CEytj2q0/edit?usp=sharing"",""ฉะเชิงเทรา!N235"")+IMPORTRANGE(""https://docs.google.com/spreadsheets/d/11tr1B-Bhyr79v2bkwVh5h_fR-PStkgjlZtkrZpYurG0/"&amp;"edit?usp=sharing"",""ชลบุรี!N235"")+IMPORTRANGE(""https://docs.google.com/spreadsheets/d/1hh-FVnSX0vozXhGluamEcS54Dw9_zqW0N7qJUWgJ0Sw/edit?usp=sharing"",""ชัยนาท!N235"")+IMPORTRANGE(""https://docs.google.com/spreadsheets/d/1jkqa6GXxSacMcY1eN8AHjMNJ_7dDXMJ"&amp;"VRLDlaFSOdPM/edit?usp=sharing"",""ตราด!N235"")+IMPORTRANGE(""https://docs.google.com/spreadsheets/d/18hSgUJ3VwClqi_qtULmmW3cLr0oe3OKaSYoKzdpTsYQ/edit?usp=sharing"",""นครนายก!N235"")+IMPORTRANGE(""https://docs.google.com/spreadsheets/d/1YTZo6WM2dQ6Ix6FSdnL"&amp;"5P7uVnVKu40sxZu975tgG10E/edit?usp=sharing"",""นครปฐม!N235"")+IMPORTRANGE(""https://docs.google.com/spreadsheets/d/1OYoGg4WDg5RIzwGeB10padOxJF9E_Vljuvvct_M7RDo/edit?usp=sharing"",""ปทุมธานี!N235"")+IMPORTRANGE(""https://docs.google.com/spreadsheets/d/1GbCI"&amp;"E4D4wk9FUozzqk7SxfDMxDVBwVmI5zcaVUSzKAc/edit?usp=sharing"",""ประจวบคีรีขันธ์!N235"")+IMPORTRANGE(""https://docs.google.com/spreadsheets/d/1vVf6wykvW_lAyu7Yo9L4hUTqHqIeP_qcVuxCtosJEbg/edit?usp=sharing"",""ปราจีนบุรี!N235"")+IMPORTRANGE(""https://docs.googl"&amp;"e.com/spreadsheets/d/1BIDqLLg5jk3v59G8NlR8rk5xfQDKne0sAvZHSj7TI6I/edit?usp=sharing"",""พระนครศรีอยุธยา!N235"")+IMPORTRANGE(""https://docs.google.com/spreadsheets/d/1YXvxf8Yu6_rV4hTBrwMqAcAnv6DfhUxh5emyM3CJp_w/edit?usp=sharing"",""เพชรบุรี!N235"")+IMPORTRA"&amp;"NGE(""https://docs.google.com/spreadsheets/d/19KBlQQs7uwvsao6t2n-KvW3Ax8J8uRRfZPq1zPbXgKc/edit?usp=sharing"",""ระยอง!N235"")+IMPORTRANGE(""https://docs.google.com/spreadsheets/d/1jQ6P4QcrGM89YfqcC_PxOHGCMq5ezhucwJd8ci-NHng/edit?usp=sharing"",""ราชบุรี!N23"&amp;"5"")+IMPORTRANGE(""https://docs.google.com/spreadsheets/d/1lufeA2cfFqM-elVq2hznhDzC6Pr7wkJ9ZG_sYNGCMCU/edit?usp=sharing"",""ลพบุรี!N235"")+IMPORTRANGE(""https://docs.google.com/spreadsheets/d/10oOiF7loTyfsTkbd4MpaIm0HQ9SwB7IYHdIUvt-U1Uc/edit?usp=sharing"""&amp;",""สระแก้ว!N235"")+IMPORTRANGE(""https://docs.google.com/spreadsheets/d/1xmPlrr1QbdSIKvl1dWUl9K4PjAfSL9oeMr_37QVzcxc/edit?usp=sharing"",""สระบุรี!N235"")+IMPORTRANGE(""https://docs.google.com/spreadsheets/d/1j51vR6CYVGhABJpv6tkstgok82RLpXieLzW1yOY5rHw/edi"&amp;"t?usp=sharing"",""สิงห์บุรี!N235"")+IMPORTRANGE(""https://docs.google.com/spreadsheets/d/1H1EalTWKUSzO4Z1-1CwzoDUaVffgrThEBe2sl74kKG0/edit?usp=sharing"",""สุพรรณบุรี!N235"")+IMPORTRANGE(""https://docs.google.com/spreadsheets/d/1BmIruG_sIrJLYao_Pdr7zVArWsf"&amp;"oBt2692TMi6x_854/edit?usp=sharing"",""อ่างทอง!N235"")"),68200)</f>
        <v>68200</v>
      </c>
      <c r="O235" s="58"/>
      <c r="P235" s="58"/>
    </row>
    <row r="236" spans="1:16" ht="18.75" x14ac:dyDescent="0.25">
      <c r="A236" s="276"/>
      <c r="B236" s="280"/>
      <c r="C236" s="280"/>
      <c r="D236" s="60" t="s">
        <v>101</v>
      </c>
      <c r="E236" s="53"/>
      <c r="F236" s="53"/>
      <c r="G236" s="55"/>
      <c r="H236" s="163" t="s">
        <v>12</v>
      </c>
      <c r="I236" s="57"/>
      <c r="J236" s="57"/>
      <c r="K236" s="58"/>
      <c r="L236" s="59">
        <f ca="1">IFERROR(__xludf.DUMMYFUNCTION("IMPORTRANGE(""https://docs.google.com/spreadsheets/d/13wPX838HrBrQMCywv1BsuMkt4PEKTChp52zj44s2izQ/edit?usp=sharing"",""กาญจนบุรี!L236"")+IMPORTRANGE(""https://docs.google.com/spreadsheets/d/1ddFKvqj1W1NEiWytbGlB1zMx_ykJDVtmfEQ-6-lIUBA/edit?usp=sharing"","&amp;"""จันทบุรี!L236"")+IMPORTRANGE(""https://docs.google.com/spreadsheets/d/1T1PQvRODqOBZk8BRht_U031fIS1beLA0Ub2CEytj2q0/edit?usp=sharing"",""ฉะเชิงเทรา!L236"")+IMPORTRANGE(""https://docs.google.com/spreadsheets/d/11tr1B-Bhyr79v2bkwVh5h_fR-PStkgjlZtkrZpYurG0/"&amp;"edit?usp=sharing"",""ชลบุรี!L236"")+IMPORTRANGE(""https://docs.google.com/spreadsheets/d/1hh-FVnSX0vozXhGluamEcS54Dw9_zqW0N7qJUWgJ0Sw/edit?usp=sharing"",""ชัยนาท!L236"")+IMPORTRANGE(""https://docs.google.com/spreadsheets/d/1jkqa6GXxSacMcY1eN8AHjMNJ_7dDXMJ"&amp;"VRLDlaFSOdPM/edit?usp=sharing"",""ตราด!L236"")+IMPORTRANGE(""https://docs.google.com/spreadsheets/d/18hSgUJ3VwClqi_qtULmmW3cLr0oe3OKaSYoKzdpTsYQ/edit?usp=sharing"",""นครนายก!L236"")+IMPORTRANGE(""https://docs.google.com/spreadsheets/d/1YTZo6WM2dQ6Ix6FSdnL"&amp;"5P7uVnVKu40sxZu975tgG10E/edit?usp=sharing"",""นครปฐม!L236"")+IMPORTRANGE(""https://docs.google.com/spreadsheets/d/1OYoGg4WDg5RIzwGeB10padOxJF9E_Vljuvvct_M7RDo/edit?usp=sharing"",""ปทุมธานี!L236"")+IMPORTRANGE(""https://docs.google.com/spreadsheets/d/1GbCI"&amp;"E4D4wk9FUozzqk7SxfDMxDVBwVmI5zcaVUSzKAc/edit?usp=sharing"",""ประจวบคีรีขันธ์!L236"")+IMPORTRANGE(""https://docs.google.com/spreadsheets/d/1vVf6wykvW_lAyu7Yo9L4hUTqHqIeP_qcVuxCtosJEbg/edit?usp=sharing"",""ปราจีนบุรี!L236"")+IMPORTRANGE(""https://docs.googl"&amp;"e.com/spreadsheets/d/1BIDqLLg5jk3v59G8NlR8rk5xfQDKne0sAvZHSj7TI6I/edit?usp=sharing"",""พระนครศรีอยุธยา!L236"")+IMPORTRANGE(""https://docs.google.com/spreadsheets/d/1YXvxf8Yu6_rV4hTBrwMqAcAnv6DfhUxh5emyM3CJp_w/edit?usp=sharing"",""เพชรบุรี!L236"")+IMPORTRA"&amp;"NGE(""https://docs.google.com/spreadsheets/d/19KBlQQs7uwvsao6t2n-KvW3Ax8J8uRRfZPq1zPbXgKc/edit?usp=sharing"",""ระยอง!L236"")+IMPORTRANGE(""https://docs.google.com/spreadsheets/d/1jQ6P4QcrGM89YfqcC_PxOHGCMq5ezhucwJd8ci-NHng/edit?usp=sharing"",""ราชบุรี!L23"&amp;"6"")+IMPORTRANGE(""https://docs.google.com/spreadsheets/d/1lufeA2cfFqM-elVq2hznhDzC6Pr7wkJ9ZG_sYNGCMCU/edit?usp=sharing"",""ลพบุรี!L236"")+IMPORTRANGE(""https://docs.google.com/spreadsheets/d/10oOiF7loTyfsTkbd4MpaIm0HQ9SwB7IYHdIUvt-U1Uc/edit?usp=sharing"""&amp;",""สระแก้ว!L236"")+IMPORTRANGE(""https://docs.google.com/spreadsheets/d/1xmPlrr1QbdSIKvl1dWUl9K4PjAfSL9oeMr_37QVzcxc/edit?usp=sharing"",""สระบุรี!L236"")+IMPORTRANGE(""https://docs.google.com/spreadsheets/d/1j51vR6CYVGhABJpv6tkstgok82RLpXieLzW1yOY5rHw/edi"&amp;"t?usp=sharing"",""สิงห์บุรี!L236"")+IMPORTRANGE(""https://docs.google.com/spreadsheets/d/1H1EalTWKUSzO4Z1-1CwzoDUaVffgrThEBe2sl74kKG0/edit?usp=sharing"",""สุพรรณบุรี!L236"")+IMPORTRANGE(""https://docs.google.com/spreadsheets/d/1BmIruG_sIrJLYao_Pdr7zVArWsf"&amp;"oBt2692TMi6x_854/edit?usp=sharing"",""อ่างทอง!L236"")"),366000)</f>
        <v>366000</v>
      </c>
      <c r="M236" s="58"/>
      <c r="N236" s="59">
        <f ca="1">IFERROR(__xludf.DUMMYFUNCTION("IMPORTRANGE(""https://docs.google.com/spreadsheets/d/13wPX838HrBrQMCywv1BsuMkt4PEKTChp52zj44s2izQ/edit?usp=sharing"",""กาญจนบุรี!N236"")+IMPORTRANGE(""https://docs.google.com/spreadsheets/d/1ddFKvqj1W1NEiWytbGlB1zMx_ykJDVtmfEQ-6-lIUBA/edit?usp=sharing"","&amp;"""จันทบุรี!N236"")+IMPORTRANGE(""https://docs.google.com/spreadsheets/d/1T1PQvRODqOBZk8BRht_U031fIS1beLA0Ub2CEytj2q0/edit?usp=sharing"",""ฉะเชิงเทรา!N236"")+IMPORTRANGE(""https://docs.google.com/spreadsheets/d/11tr1B-Bhyr79v2bkwVh5h_fR-PStkgjlZtkrZpYurG0/"&amp;"edit?usp=sharing"",""ชลบุรี!N236"")+IMPORTRANGE(""https://docs.google.com/spreadsheets/d/1hh-FVnSX0vozXhGluamEcS54Dw9_zqW0N7qJUWgJ0Sw/edit?usp=sharing"",""ชัยนาท!N236"")+IMPORTRANGE(""https://docs.google.com/spreadsheets/d/1jkqa6GXxSacMcY1eN8AHjMNJ_7dDXMJ"&amp;"VRLDlaFSOdPM/edit?usp=sharing"",""ตราด!N236"")+IMPORTRANGE(""https://docs.google.com/spreadsheets/d/18hSgUJ3VwClqi_qtULmmW3cLr0oe3OKaSYoKzdpTsYQ/edit?usp=sharing"",""นครนายก!N236"")+IMPORTRANGE(""https://docs.google.com/spreadsheets/d/1YTZo6WM2dQ6Ix6FSdnL"&amp;"5P7uVnVKu40sxZu975tgG10E/edit?usp=sharing"",""นครปฐม!N236"")+IMPORTRANGE(""https://docs.google.com/spreadsheets/d/1OYoGg4WDg5RIzwGeB10padOxJF9E_Vljuvvct_M7RDo/edit?usp=sharing"",""ปทุมธานี!N236"")+IMPORTRANGE(""https://docs.google.com/spreadsheets/d/1GbCI"&amp;"E4D4wk9FUozzqk7SxfDMxDVBwVmI5zcaVUSzKAc/edit?usp=sharing"",""ประจวบคีรีขันธ์!N236"")+IMPORTRANGE(""https://docs.google.com/spreadsheets/d/1vVf6wykvW_lAyu7Yo9L4hUTqHqIeP_qcVuxCtosJEbg/edit?usp=sharing"",""ปราจีนบุรี!N236"")+IMPORTRANGE(""https://docs.googl"&amp;"e.com/spreadsheets/d/1BIDqLLg5jk3v59G8NlR8rk5xfQDKne0sAvZHSj7TI6I/edit?usp=sharing"",""พระนครศรีอยุธยา!N236"")+IMPORTRANGE(""https://docs.google.com/spreadsheets/d/1YXvxf8Yu6_rV4hTBrwMqAcAnv6DfhUxh5emyM3CJp_w/edit?usp=sharing"",""เพชรบุรี!N236"")+IMPORTRA"&amp;"NGE(""https://docs.google.com/spreadsheets/d/19KBlQQs7uwvsao6t2n-KvW3Ax8J8uRRfZPq1zPbXgKc/edit?usp=sharing"",""ระยอง!N236"")+IMPORTRANGE(""https://docs.google.com/spreadsheets/d/1jQ6P4QcrGM89YfqcC_PxOHGCMq5ezhucwJd8ci-NHng/edit?usp=sharing"",""ราชบุรี!N23"&amp;"6"")+IMPORTRANGE(""https://docs.google.com/spreadsheets/d/1lufeA2cfFqM-elVq2hznhDzC6Pr7wkJ9ZG_sYNGCMCU/edit?usp=sharing"",""ลพบุรี!N236"")+IMPORTRANGE(""https://docs.google.com/spreadsheets/d/10oOiF7loTyfsTkbd4MpaIm0HQ9SwB7IYHdIUvt-U1Uc/edit?usp=sharing"""&amp;",""สระแก้ว!N236"")+IMPORTRANGE(""https://docs.google.com/spreadsheets/d/1xmPlrr1QbdSIKvl1dWUl9K4PjAfSL9oeMr_37QVzcxc/edit?usp=sharing"",""สระบุรี!N236"")+IMPORTRANGE(""https://docs.google.com/spreadsheets/d/1j51vR6CYVGhABJpv6tkstgok82RLpXieLzW1yOY5rHw/edi"&amp;"t?usp=sharing"",""สิงห์บุรี!N236"")+IMPORTRANGE(""https://docs.google.com/spreadsheets/d/1H1EalTWKUSzO4Z1-1CwzoDUaVffgrThEBe2sl74kKG0/edit?usp=sharing"",""สุพรรณบุรี!N236"")+IMPORTRANGE(""https://docs.google.com/spreadsheets/d/1BmIruG_sIrJLYao_Pdr7zVArWsf"&amp;"oBt2692TMi6x_854/edit?usp=sharing"",""อ่างทอง!N236"")"),36000)</f>
        <v>36000</v>
      </c>
      <c r="O236" s="58"/>
      <c r="P236" s="58"/>
    </row>
    <row r="237" spans="1:16" ht="19.5" x14ac:dyDescent="0.3">
      <c r="A237" s="167"/>
      <c r="B237" s="168"/>
      <c r="C237" s="298" t="s">
        <v>16</v>
      </c>
      <c r="D237" s="169" t="s">
        <v>36</v>
      </c>
      <c r="E237" s="170"/>
      <c r="F237" s="170"/>
      <c r="G237" s="171"/>
      <c r="H237" s="172"/>
      <c r="I237" s="164"/>
      <c r="J237" s="57"/>
      <c r="K237" s="58"/>
      <c r="L237" s="58"/>
      <c r="M237" s="58"/>
      <c r="N237" s="58"/>
      <c r="O237" s="165"/>
      <c r="P237" s="165"/>
    </row>
    <row r="238" spans="1:16" ht="18.75" x14ac:dyDescent="0.25">
      <c r="A238" s="167"/>
      <c r="B238" s="168"/>
      <c r="C238" s="168"/>
      <c r="D238" s="195" t="s">
        <v>102</v>
      </c>
      <c r="E238" s="174"/>
      <c r="F238" s="174"/>
      <c r="G238" s="172"/>
      <c r="H238" s="180" t="s">
        <v>33</v>
      </c>
      <c r="I238" s="196">
        <f ca="1">IFERROR(__xludf.DUMMYFUNCTION("IMPORTRANGE(""https://docs.google.com/spreadsheets/d/13wPX838HrBrQMCywv1BsuMkt4PEKTChp52zj44s2izQ/edit?usp=sharing"",""กาญจนบุรี!I238"")+IMPORTRANGE(""https://docs.google.com/spreadsheets/d/1ddFKvqj1W1NEiWytbGlB1zMx_ykJDVtmfEQ-6-lIUBA/edit?usp=sharing"","&amp;"""จันทบุรี!I238"")+IMPORTRANGE(""https://docs.google.com/spreadsheets/d/1T1PQvRODqOBZk8BRht_U031fIS1beLA0Ub2CEytj2q0/edit?usp=sharing"",""ฉะเชิงเทรา!I238"")+IMPORTRANGE(""https://docs.google.com/spreadsheets/d/11tr1B-Bhyr79v2bkwVh5h_fR-PStkgjlZtkrZpYurG0/"&amp;"edit?usp=sharing"",""ชลบุรี!I238"")+IMPORTRANGE(""https://docs.google.com/spreadsheets/d/1hh-FVnSX0vozXhGluamEcS54Dw9_zqW0N7qJUWgJ0Sw/edit?usp=sharing"",""ชัยนาท!I238"")+IMPORTRANGE(""https://docs.google.com/spreadsheets/d/1jkqa6GXxSacMcY1eN8AHjMNJ_7dDXMJ"&amp;"VRLDlaFSOdPM/edit?usp=sharing"",""ตราด!I238"")+IMPORTRANGE(""https://docs.google.com/spreadsheets/d/18hSgUJ3VwClqi_qtULmmW3cLr0oe3OKaSYoKzdpTsYQ/edit?usp=sharing"",""นครนายก!I238"")+IMPORTRANGE(""https://docs.google.com/spreadsheets/d/1YTZo6WM2dQ6Ix6FSdnL"&amp;"5P7uVnVKu40sxZu975tgG10E/edit?usp=sharing"",""นครปฐม!I238"")+IMPORTRANGE(""https://docs.google.com/spreadsheets/d/1OYoGg4WDg5RIzwGeB10padOxJF9E_Vljuvvct_M7RDo/edit?usp=sharing"",""ปทุมธานี!I238"")+IMPORTRANGE(""https://docs.google.com/spreadsheets/d/1GbCI"&amp;"E4D4wk9FUozzqk7SxfDMxDVBwVmI5zcaVUSzKAc/edit?usp=sharing"",""ประจวบคีรีขันธ์!I238"")+IMPORTRANGE(""https://docs.google.com/spreadsheets/d/1vVf6wykvW_lAyu7Yo9L4hUTqHqIeP_qcVuxCtosJEbg/edit?usp=sharing"",""ปราจีนบุรี!I238"")+IMPORTRANGE(""https://docs.googl"&amp;"e.com/spreadsheets/d/1BIDqLLg5jk3v59G8NlR8rk5xfQDKne0sAvZHSj7TI6I/edit?usp=sharing"",""พระนครศรีอยุธยา!I238"")+IMPORTRANGE(""https://docs.google.com/spreadsheets/d/1YXvxf8Yu6_rV4hTBrwMqAcAnv6DfhUxh5emyM3CJp_w/edit?usp=sharing"",""เพชรบุรี!I238"")+IMPORTRA"&amp;"NGE(""https://docs.google.com/spreadsheets/d/19KBlQQs7uwvsao6t2n-KvW3Ax8J8uRRfZPq1zPbXgKc/edit?usp=sharing"",""ระยอง!I238"")+IMPORTRANGE(""https://docs.google.com/spreadsheets/d/1jQ6P4QcrGM89YfqcC_PxOHGCMq5ezhucwJd8ci-NHng/edit?usp=sharing"",""ราชบุรี!I23"&amp;"8"")+IMPORTRANGE(""https://docs.google.com/spreadsheets/d/1lufeA2cfFqM-elVq2hznhDzC6Pr7wkJ9ZG_sYNGCMCU/edit?usp=sharing"",""ลพบุรี!I238"")+IMPORTRANGE(""https://docs.google.com/spreadsheets/d/10oOiF7loTyfsTkbd4MpaIm0HQ9SwB7IYHdIUvt-U1Uc/edit?usp=sharing"""&amp;",""สระแก้ว!I238"")+IMPORTRANGE(""https://docs.google.com/spreadsheets/d/1xmPlrr1QbdSIKvl1dWUl9K4PjAfSL9oeMr_37QVzcxc/edit?usp=sharing"",""สระบุรี!I238"")+IMPORTRANGE(""https://docs.google.com/spreadsheets/d/1j51vR6CYVGhABJpv6tkstgok82RLpXieLzW1yOY5rHw/edi"&amp;"t?usp=sharing"",""สิงห์บุรี!I238"")+IMPORTRANGE(""https://docs.google.com/spreadsheets/d/1H1EalTWKUSzO4Z1-1CwzoDUaVffgrThEBe2sl74kKG0/edit?usp=sharing"",""สุพรรณบุรี!I238"")+IMPORTRANGE(""https://docs.google.com/spreadsheets/d/1BmIruG_sIrJLYao_Pdr7zVArWsf"&amp;"oBt2692TMi6x_854/edit?usp=sharing"",""อ่างทอง!I238"")"),330)</f>
        <v>330</v>
      </c>
      <c r="J238" s="196">
        <f ca="1">IFERROR(__xludf.DUMMYFUNCTION("IMPORTRANGE(""https://docs.google.com/spreadsheets/d/13wPX838HrBrQMCywv1BsuMkt4PEKTChp52zj44s2izQ/edit?usp=sharing"",""กาญจนบุรี!J238"")+IMPORTRANGE(""https://docs.google.com/spreadsheets/d/1ddFKvqj1W1NEiWytbGlB1zMx_ykJDVtmfEQ-6-lIUBA/edit?usp=sharing"","&amp;"""จันทบุรี!J238"")+IMPORTRANGE(""https://docs.google.com/spreadsheets/d/1T1PQvRODqOBZk8BRht_U031fIS1beLA0Ub2CEytj2q0/edit?usp=sharing"",""ฉะเชิงเทรา!J238"")+IMPORTRANGE(""https://docs.google.com/spreadsheets/d/11tr1B-Bhyr79v2bkwVh5h_fR-PStkgjlZtkrZpYurG0/"&amp;"edit?usp=sharing"",""ชลบุรี!J238"")+IMPORTRANGE(""https://docs.google.com/spreadsheets/d/1hh-FVnSX0vozXhGluamEcS54Dw9_zqW0N7qJUWgJ0Sw/edit?usp=sharing"",""ชัยนาท!J238"")+IMPORTRANGE(""https://docs.google.com/spreadsheets/d/1jkqa6GXxSacMcY1eN8AHjMNJ_7dDXMJ"&amp;"VRLDlaFSOdPM/edit?usp=sharing"",""ตราด!J238"")+IMPORTRANGE(""https://docs.google.com/spreadsheets/d/18hSgUJ3VwClqi_qtULmmW3cLr0oe3OKaSYoKzdpTsYQ/edit?usp=sharing"",""นครนายก!J238"")+IMPORTRANGE(""https://docs.google.com/spreadsheets/d/1YTZo6WM2dQ6Ix6FSdnL"&amp;"5P7uVnVKu40sxZu975tgG10E/edit?usp=sharing"",""นครปฐม!J238"")+IMPORTRANGE(""https://docs.google.com/spreadsheets/d/1OYoGg4WDg5RIzwGeB10padOxJF9E_Vljuvvct_M7RDo/edit?usp=sharing"",""ปทุมธานี!J238"")+IMPORTRANGE(""https://docs.google.com/spreadsheets/d/1GbCI"&amp;"E4D4wk9FUozzqk7SxfDMxDVBwVmI5zcaVUSzKAc/edit?usp=sharing"",""ประจวบคีรีขันธ์!J238"")+IMPORTRANGE(""https://docs.google.com/spreadsheets/d/1vVf6wykvW_lAyu7Yo9L4hUTqHqIeP_qcVuxCtosJEbg/edit?usp=sharing"",""ปราจีนบุรี!J238"")+IMPORTRANGE(""https://docs.googl"&amp;"e.com/spreadsheets/d/1BIDqLLg5jk3v59G8NlR8rk5xfQDKne0sAvZHSj7TI6I/edit?usp=sharing"",""พระนครศรีอยุธยา!J238"")+IMPORTRANGE(""https://docs.google.com/spreadsheets/d/1YXvxf8Yu6_rV4hTBrwMqAcAnv6DfhUxh5emyM3CJp_w/edit?usp=sharing"",""เพชรบุรี!J238"")+IMPORTRA"&amp;"NGE(""https://docs.google.com/spreadsheets/d/19KBlQQs7uwvsao6t2n-KvW3Ax8J8uRRfZPq1zPbXgKc/edit?usp=sharing"",""ระยอง!J238"")+IMPORTRANGE(""https://docs.google.com/spreadsheets/d/1jQ6P4QcrGM89YfqcC_PxOHGCMq5ezhucwJd8ci-NHng/edit?usp=sharing"",""ราชบุรี!J23"&amp;"8"")+IMPORTRANGE(""https://docs.google.com/spreadsheets/d/1lufeA2cfFqM-elVq2hznhDzC6Pr7wkJ9ZG_sYNGCMCU/edit?usp=sharing"",""ลพบุรี!J238"")+IMPORTRANGE(""https://docs.google.com/spreadsheets/d/10oOiF7loTyfsTkbd4MpaIm0HQ9SwB7IYHdIUvt-U1Uc/edit?usp=sharing"""&amp;",""สระแก้ว!J238"")+IMPORTRANGE(""https://docs.google.com/spreadsheets/d/1xmPlrr1QbdSIKvl1dWUl9K4PjAfSL9oeMr_37QVzcxc/edit?usp=sharing"",""สระบุรี!J238"")+IMPORTRANGE(""https://docs.google.com/spreadsheets/d/1j51vR6CYVGhABJpv6tkstgok82RLpXieLzW1yOY5rHw/edi"&amp;"t?usp=sharing"",""สิงห์บุรี!J238"")+IMPORTRANGE(""https://docs.google.com/spreadsheets/d/1H1EalTWKUSzO4Z1-1CwzoDUaVffgrThEBe2sl74kKG0/edit?usp=sharing"",""สุพรรณบุรี!J238"")+IMPORTRANGE(""https://docs.google.com/spreadsheets/d/1BmIruG_sIrJLYao_Pdr7zVArWsf"&amp;"oBt2692TMi6x_854/edit?usp=sharing"",""อ่างทอง!J238"")"),60)</f>
        <v>60</v>
      </c>
      <c r="K238" s="59">
        <f ca="1">IF(I238&gt;0,J238*100/I238,0)</f>
        <v>18.181818181818183</v>
      </c>
      <c r="L238" s="58"/>
      <c r="M238" s="58"/>
      <c r="N238" s="58"/>
      <c r="O238" s="58"/>
      <c r="P238" s="58"/>
    </row>
    <row r="239" spans="1:16" ht="18.75" x14ac:dyDescent="0.25">
      <c r="A239" s="167"/>
      <c r="B239" s="168"/>
      <c r="C239" s="168"/>
      <c r="D239" s="308" t="s">
        <v>41</v>
      </c>
      <c r="E239" s="174"/>
      <c r="F239" s="174"/>
      <c r="G239" s="172"/>
      <c r="H239" s="172"/>
      <c r="I239" s="57"/>
      <c r="J239" s="57"/>
      <c r="K239" s="58"/>
      <c r="L239" s="58"/>
      <c r="M239" s="58"/>
      <c r="N239" s="58"/>
      <c r="O239" s="165"/>
      <c r="P239" s="165"/>
    </row>
    <row r="240" spans="1:16" ht="18.75" x14ac:dyDescent="0.25">
      <c r="A240" s="167"/>
      <c r="B240" s="168"/>
      <c r="C240" s="168"/>
      <c r="D240" s="168"/>
      <c r="E240" s="173" t="s">
        <v>103</v>
      </c>
      <c r="F240" s="174"/>
      <c r="G240" s="172"/>
      <c r="H240" s="180" t="s">
        <v>33</v>
      </c>
      <c r="I240" s="182">
        <v>0</v>
      </c>
      <c r="J240" s="196">
        <f ca="1">IFERROR(__xludf.DUMMYFUNCTION("IMPORTRANGE(""https://docs.google.com/spreadsheets/d/13wPX838HrBrQMCywv1BsuMkt4PEKTChp52zj44s2izQ/edit?usp=sharing"",""กาญจนบุรี!J240"")+IMPORTRANGE(""https://docs.google.com/spreadsheets/d/1ddFKvqj1W1NEiWytbGlB1zMx_ykJDVtmfEQ-6-lIUBA/edit?usp=sharing"","&amp;"""จันทบุรี!J240"")+IMPORTRANGE(""https://docs.google.com/spreadsheets/d/1T1PQvRODqOBZk8BRht_U031fIS1beLA0Ub2CEytj2q0/edit?usp=sharing"",""ฉะเชิงเทรา!J240"")+IMPORTRANGE(""https://docs.google.com/spreadsheets/d/11tr1B-Bhyr79v2bkwVh5h_fR-PStkgjlZtkrZpYurG0/"&amp;"edit?usp=sharing"",""ชลบุรี!J240"")+IMPORTRANGE(""https://docs.google.com/spreadsheets/d/1hh-FVnSX0vozXhGluamEcS54Dw9_zqW0N7qJUWgJ0Sw/edit?usp=sharing"",""ชัยนาท!J240"")+IMPORTRANGE(""https://docs.google.com/spreadsheets/d/1jkqa6GXxSacMcY1eN8AHjMNJ_7dDXMJ"&amp;"VRLDlaFSOdPM/edit?usp=sharing"",""ตราด!J240"")+IMPORTRANGE(""https://docs.google.com/spreadsheets/d/18hSgUJ3VwClqi_qtULmmW3cLr0oe3OKaSYoKzdpTsYQ/edit?usp=sharing"",""นครนายก!J240"")+IMPORTRANGE(""https://docs.google.com/spreadsheets/d/1YTZo6WM2dQ6Ix6FSdnL"&amp;"5P7uVnVKu40sxZu975tgG10E/edit?usp=sharing"",""นครปฐม!J240"")+IMPORTRANGE(""https://docs.google.com/spreadsheets/d/1OYoGg4WDg5RIzwGeB10padOxJF9E_Vljuvvct_M7RDo/edit?usp=sharing"",""ปทุมธานี!J240"")+IMPORTRANGE(""https://docs.google.com/spreadsheets/d/1GbCI"&amp;"E4D4wk9FUozzqk7SxfDMxDVBwVmI5zcaVUSzKAc/edit?usp=sharing"",""ประจวบคีรีขันธ์!J240"")+IMPORTRANGE(""https://docs.google.com/spreadsheets/d/1vVf6wykvW_lAyu7Yo9L4hUTqHqIeP_qcVuxCtosJEbg/edit?usp=sharing"",""ปราจีนบุรี!J240"")+IMPORTRANGE(""https://docs.googl"&amp;"e.com/spreadsheets/d/1BIDqLLg5jk3v59G8NlR8rk5xfQDKne0sAvZHSj7TI6I/edit?usp=sharing"",""พระนครศรีอยุธยา!J240"")+IMPORTRANGE(""https://docs.google.com/spreadsheets/d/1YXvxf8Yu6_rV4hTBrwMqAcAnv6DfhUxh5emyM3CJp_w/edit?usp=sharing"",""เพชรบุรี!J240"")+IMPORTRA"&amp;"NGE(""https://docs.google.com/spreadsheets/d/19KBlQQs7uwvsao6t2n-KvW3Ax8J8uRRfZPq1zPbXgKc/edit?usp=sharing"",""ระยอง!J240"")+IMPORTRANGE(""https://docs.google.com/spreadsheets/d/1jQ6P4QcrGM89YfqcC_PxOHGCMq5ezhucwJd8ci-NHng/edit?usp=sharing"",""ราชบุรี!J24"&amp;"0"")+IMPORTRANGE(""https://docs.google.com/spreadsheets/d/1lufeA2cfFqM-elVq2hznhDzC6Pr7wkJ9ZG_sYNGCMCU/edit?usp=sharing"",""ลพบุรี!J240"")+IMPORTRANGE(""https://docs.google.com/spreadsheets/d/10oOiF7loTyfsTkbd4MpaIm0HQ9SwB7IYHdIUvt-U1Uc/edit?usp=sharing"""&amp;",""สระแก้ว!J240"")+IMPORTRANGE(""https://docs.google.com/spreadsheets/d/1xmPlrr1QbdSIKvl1dWUl9K4PjAfSL9oeMr_37QVzcxc/edit?usp=sharing"",""สระบุรี!J240"")+IMPORTRANGE(""https://docs.google.com/spreadsheets/d/1j51vR6CYVGhABJpv6tkstgok82RLpXieLzW1yOY5rHw/edi"&amp;"t?usp=sharing"",""สิงห์บุรี!J240"")+IMPORTRANGE(""https://docs.google.com/spreadsheets/d/1H1EalTWKUSzO4Z1-1CwzoDUaVffgrThEBe2sl74kKG0/edit?usp=sharing"",""สุพรรณบุรี!J240"")+IMPORTRANGE(""https://docs.google.com/spreadsheets/d/1BmIruG_sIrJLYao_Pdr7zVArWsf"&amp;"oBt2692TMi6x_854/edit?usp=sharing"",""อ่างทอง!J240"")"),30)</f>
        <v>30</v>
      </c>
      <c r="K240" s="59">
        <f t="shared" ref="K240:K241" si="107">IF(I240&gt;0,J240*100/I240,0)</f>
        <v>0</v>
      </c>
      <c r="L240" s="58"/>
      <c r="M240" s="58"/>
      <c r="N240" s="58"/>
      <c r="O240" s="58"/>
      <c r="P240" s="58"/>
    </row>
    <row r="241" spans="1:16" ht="18.75" x14ac:dyDescent="0.25">
      <c r="A241" s="167"/>
      <c r="B241" s="168"/>
      <c r="C241" s="168"/>
      <c r="D241" s="168"/>
      <c r="E241" s="173" t="s">
        <v>104</v>
      </c>
      <c r="F241" s="174"/>
      <c r="G241" s="172"/>
      <c r="H241" s="180" t="s">
        <v>54</v>
      </c>
      <c r="I241" s="182">
        <v>0</v>
      </c>
      <c r="J241" s="196">
        <f ca="1">IFERROR(__xludf.DUMMYFUNCTION("IMPORTRANGE(""https://docs.google.com/spreadsheets/d/13wPX838HrBrQMCywv1BsuMkt4PEKTChp52zj44s2izQ/edit?usp=sharing"",""กาญจนบุรี!J241"")+IMPORTRANGE(""https://docs.google.com/spreadsheets/d/1ddFKvqj1W1NEiWytbGlB1zMx_ykJDVtmfEQ-6-lIUBA/edit?usp=sharing"","&amp;"""จันทบุรี!J241"")+IMPORTRANGE(""https://docs.google.com/spreadsheets/d/1T1PQvRODqOBZk8BRht_U031fIS1beLA0Ub2CEytj2q0/edit?usp=sharing"",""ฉะเชิงเทรา!J241"")+IMPORTRANGE(""https://docs.google.com/spreadsheets/d/11tr1B-Bhyr79v2bkwVh5h_fR-PStkgjlZtkrZpYurG0/"&amp;"edit?usp=sharing"",""ชลบุรี!J241"")+IMPORTRANGE(""https://docs.google.com/spreadsheets/d/1hh-FVnSX0vozXhGluamEcS54Dw9_zqW0N7qJUWgJ0Sw/edit?usp=sharing"",""ชัยนาท!J241"")+IMPORTRANGE(""https://docs.google.com/spreadsheets/d/1jkqa6GXxSacMcY1eN8AHjMNJ_7dDXMJ"&amp;"VRLDlaFSOdPM/edit?usp=sharing"",""ตราด!J241"")+IMPORTRANGE(""https://docs.google.com/spreadsheets/d/18hSgUJ3VwClqi_qtULmmW3cLr0oe3OKaSYoKzdpTsYQ/edit?usp=sharing"",""นครนายก!J241"")+IMPORTRANGE(""https://docs.google.com/spreadsheets/d/1YTZo6WM2dQ6Ix6FSdnL"&amp;"5P7uVnVKu40sxZu975tgG10E/edit?usp=sharing"",""นครปฐม!J241"")+IMPORTRANGE(""https://docs.google.com/spreadsheets/d/1OYoGg4WDg5RIzwGeB10padOxJF9E_Vljuvvct_M7RDo/edit?usp=sharing"",""ปทุมธานี!J241"")+IMPORTRANGE(""https://docs.google.com/spreadsheets/d/1GbCI"&amp;"E4D4wk9FUozzqk7SxfDMxDVBwVmI5zcaVUSzKAc/edit?usp=sharing"",""ประจวบคีรีขันธ์!J241"")+IMPORTRANGE(""https://docs.google.com/spreadsheets/d/1vVf6wykvW_lAyu7Yo9L4hUTqHqIeP_qcVuxCtosJEbg/edit?usp=sharing"",""ปราจีนบุรี!J241"")+IMPORTRANGE(""https://docs.googl"&amp;"e.com/spreadsheets/d/1BIDqLLg5jk3v59G8NlR8rk5xfQDKne0sAvZHSj7TI6I/edit?usp=sharing"",""พระนครศรีอยุธยา!J241"")+IMPORTRANGE(""https://docs.google.com/spreadsheets/d/1YXvxf8Yu6_rV4hTBrwMqAcAnv6DfhUxh5emyM3CJp_w/edit?usp=sharing"",""เพชรบุรี!J241"")+IMPORTRA"&amp;"NGE(""https://docs.google.com/spreadsheets/d/19KBlQQs7uwvsao6t2n-KvW3Ax8J8uRRfZPq1zPbXgKc/edit?usp=sharing"",""ระยอง!J241"")+IMPORTRANGE(""https://docs.google.com/spreadsheets/d/1jQ6P4QcrGM89YfqcC_PxOHGCMq5ezhucwJd8ci-NHng/edit?usp=sharing"",""ราชบุรี!J24"&amp;"1"")+IMPORTRANGE(""https://docs.google.com/spreadsheets/d/1lufeA2cfFqM-elVq2hznhDzC6Pr7wkJ9ZG_sYNGCMCU/edit?usp=sharing"",""ลพบุรี!J241"")+IMPORTRANGE(""https://docs.google.com/spreadsheets/d/10oOiF7loTyfsTkbd4MpaIm0HQ9SwB7IYHdIUvt-U1Uc/edit?usp=sharing"""&amp;",""สระแก้ว!J241"")+IMPORTRANGE(""https://docs.google.com/spreadsheets/d/1xmPlrr1QbdSIKvl1dWUl9K4PjAfSL9oeMr_37QVzcxc/edit?usp=sharing"",""สระบุรี!J241"")+IMPORTRANGE(""https://docs.google.com/spreadsheets/d/1j51vR6CYVGhABJpv6tkstgok82RLpXieLzW1yOY5rHw/edi"&amp;"t?usp=sharing"",""สิงห์บุรี!J241"")+IMPORTRANGE(""https://docs.google.com/spreadsheets/d/1H1EalTWKUSzO4Z1-1CwzoDUaVffgrThEBe2sl74kKG0/edit?usp=sharing"",""สุพรรณบุรี!J241"")+IMPORTRANGE(""https://docs.google.com/spreadsheets/d/1BmIruG_sIrJLYao_Pdr7zVArWsf"&amp;"oBt2692TMi6x_854/edit?usp=sharing"",""อ่างทอง!J241"")"),0)</f>
        <v>0</v>
      </c>
      <c r="K241" s="59">
        <f t="shared" si="107"/>
        <v>0</v>
      </c>
      <c r="L241" s="58"/>
      <c r="M241" s="58"/>
      <c r="N241" s="58"/>
      <c r="O241" s="58"/>
      <c r="P241" s="58"/>
    </row>
    <row r="242" spans="1:16" ht="19.5" hidden="1" x14ac:dyDescent="0.3">
      <c r="A242" s="309"/>
      <c r="B242" s="310"/>
      <c r="C242" s="311" t="s">
        <v>105</v>
      </c>
      <c r="D242" s="312"/>
      <c r="E242" s="312"/>
      <c r="F242" s="312"/>
      <c r="G242" s="313"/>
      <c r="H242" s="314" t="s">
        <v>33</v>
      </c>
      <c r="I242" s="315"/>
      <c r="J242" s="315"/>
      <c r="K242" s="316"/>
      <c r="L242" s="306"/>
      <c r="M242" s="306"/>
      <c r="N242" s="306"/>
      <c r="O242" s="306"/>
      <c r="P242" s="306"/>
    </row>
    <row r="243" spans="1:16" ht="19.5" hidden="1" x14ac:dyDescent="0.3">
      <c r="A243" s="317"/>
      <c r="B243" s="312"/>
      <c r="C243" s="318" t="s">
        <v>16</v>
      </c>
      <c r="D243" s="319" t="s">
        <v>17</v>
      </c>
      <c r="E243" s="312"/>
      <c r="F243" s="312"/>
      <c r="G243" s="313"/>
      <c r="H243" s="320" t="s">
        <v>12</v>
      </c>
      <c r="I243" s="321"/>
      <c r="J243" s="321"/>
      <c r="K243" s="322"/>
      <c r="L243" s="323"/>
      <c r="M243" s="306"/>
      <c r="N243" s="323"/>
      <c r="O243" s="323"/>
      <c r="P243" s="323"/>
    </row>
    <row r="244" spans="1:16" ht="18.75" hidden="1" x14ac:dyDescent="0.25">
      <c r="A244" s="317"/>
      <c r="B244" s="310"/>
      <c r="C244" s="312"/>
      <c r="D244" s="324" t="s">
        <v>80</v>
      </c>
      <c r="E244" s="312"/>
      <c r="F244" s="312"/>
      <c r="G244" s="313"/>
      <c r="H244" s="325" t="s">
        <v>12</v>
      </c>
      <c r="I244" s="321"/>
      <c r="J244" s="321"/>
      <c r="K244" s="322"/>
      <c r="L244" s="307"/>
      <c r="M244" s="306"/>
      <c r="N244" s="326"/>
      <c r="O244" s="306"/>
      <c r="P244" s="306"/>
    </row>
    <row r="245" spans="1:16" ht="18.75" hidden="1" x14ac:dyDescent="0.25">
      <c r="A245" s="309"/>
      <c r="B245" s="310"/>
      <c r="C245" s="310"/>
      <c r="D245" s="324" t="s">
        <v>82</v>
      </c>
      <c r="E245" s="312"/>
      <c r="F245" s="312"/>
      <c r="G245" s="313"/>
      <c r="H245" s="325" t="s">
        <v>12</v>
      </c>
      <c r="I245" s="321"/>
      <c r="J245" s="321"/>
      <c r="K245" s="322"/>
      <c r="L245" s="307"/>
      <c r="M245" s="306"/>
      <c r="N245" s="326"/>
      <c r="O245" s="306"/>
      <c r="P245" s="306"/>
    </row>
    <row r="246" spans="1:16" ht="18.75" hidden="1" x14ac:dyDescent="0.25">
      <c r="A246" s="309"/>
      <c r="B246" s="310"/>
      <c r="C246" s="310"/>
      <c r="D246" s="324" t="s">
        <v>100</v>
      </c>
      <c r="E246" s="312"/>
      <c r="F246" s="312"/>
      <c r="G246" s="313"/>
      <c r="H246" s="325" t="s">
        <v>12</v>
      </c>
      <c r="I246" s="321"/>
      <c r="J246" s="321"/>
      <c r="K246" s="322"/>
      <c r="L246" s="307"/>
      <c r="M246" s="306"/>
      <c r="N246" s="326"/>
      <c r="O246" s="306"/>
      <c r="P246" s="306"/>
    </row>
    <row r="247" spans="1:16" ht="18.75" hidden="1" x14ac:dyDescent="0.25">
      <c r="A247" s="309"/>
      <c r="B247" s="310"/>
      <c r="C247" s="310"/>
      <c r="D247" s="324" t="s">
        <v>101</v>
      </c>
      <c r="E247" s="312"/>
      <c r="F247" s="312"/>
      <c r="G247" s="313"/>
      <c r="H247" s="325" t="s">
        <v>12</v>
      </c>
      <c r="I247" s="321"/>
      <c r="J247" s="321"/>
      <c r="K247" s="322"/>
      <c r="L247" s="307"/>
      <c r="M247" s="306"/>
      <c r="N247" s="326"/>
      <c r="O247" s="306"/>
      <c r="P247" s="306"/>
    </row>
    <row r="248" spans="1:16" ht="19.5" hidden="1" x14ac:dyDescent="0.3">
      <c r="A248" s="309"/>
      <c r="B248" s="310"/>
      <c r="C248" s="327" t="s">
        <v>16</v>
      </c>
      <c r="D248" s="328" t="s">
        <v>36</v>
      </c>
      <c r="E248" s="312"/>
      <c r="F248" s="312"/>
      <c r="G248" s="313"/>
      <c r="H248" s="313"/>
      <c r="I248" s="321"/>
      <c r="J248" s="321"/>
      <c r="K248" s="322"/>
      <c r="L248" s="306"/>
      <c r="M248" s="306"/>
      <c r="N248" s="306"/>
      <c r="O248" s="306"/>
      <c r="P248" s="306"/>
    </row>
    <row r="249" spans="1:16" ht="18.75" hidden="1" x14ac:dyDescent="0.25">
      <c r="A249" s="309"/>
      <c r="B249" s="310"/>
      <c r="C249" s="310"/>
      <c r="D249" s="324" t="s">
        <v>102</v>
      </c>
      <c r="E249" s="312"/>
      <c r="F249" s="312"/>
      <c r="G249" s="313"/>
      <c r="H249" s="329" t="s">
        <v>33</v>
      </c>
      <c r="I249" s="330"/>
      <c r="J249" s="331"/>
      <c r="K249" s="332"/>
      <c r="L249" s="306"/>
      <c r="M249" s="306"/>
      <c r="N249" s="306"/>
      <c r="O249" s="306"/>
      <c r="P249" s="306"/>
    </row>
    <row r="250" spans="1:16" ht="18.75" hidden="1" x14ac:dyDescent="0.25">
      <c r="A250" s="309"/>
      <c r="B250" s="310"/>
      <c r="C250" s="310"/>
      <c r="D250" s="333" t="s">
        <v>41</v>
      </c>
      <c r="E250" s="312"/>
      <c r="F250" s="312"/>
      <c r="G250" s="313"/>
      <c r="H250" s="313"/>
      <c r="I250" s="321"/>
      <c r="J250" s="321"/>
      <c r="K250" s="322"/>
      <c r="L250" s="306"/>
      <c r="M250" s="306"/>
      <c r="N250" s="306"/>
      <c r="O250" s="306"/>
      <c r="P250" s="306"/>
    </row>
    <row r="251" spans="1:16" ht="18.75" hidden="1" x14ac:dyDescent="0.25">
      <c r="A251" s="309"/>
      <c r="B251" s="310"/>
      <c r="C251" s="310"/>
      <c r="D251" s="310"/>
      <c r="E251" s="334" t="s">
        <v>103</v>
      </c>
      <c r="F251" s="312"/>
      <c r="G251" s="313"/>
      <c r="H251" s="329" t="s">
        <v>33</v>
      </c>
      <c r="I251" s="331"/>
      <c r="J251" s="331"/>
      <c r="K251" s="332"/>
      <c r="L251" s="306"/>
      <c r="M251" s="306"/>
      <c r="N251" s="306"/>
      <c r="O251" s="306"/>
      <c r="P251" s="306"/>
    </row>
    <row r="252" spans="1:16" ht="18.75" hidden="1" x14ac:dyDescent="0.25">
      <c r="A252" s="309"/>
      <c r="B252" s="310"/>
      <c r="C252" s="310"/>
      <c r="D252" s="310"/>
      <c r="E252" s="334" t="s">
        <v>104</v>
      </c>
      <c r="F252" s="312"/>
      <c r="G252" s="313"/>
      <c r="H252" s="329" t="s">
        <v>54</v>
      </c>
      <c r="I252" s="331"/>
      <c r="J252" s="331"/>
      <c r="K252" s="332"/>
      <c r="L252" s="306"/>
      <c r="M252" s="306"/>
      <c r="N252" s="306"/>
      <c r="O252" s="306"/>
      <c r="P252" s="306"/>
    </row>
    <row r="253" spans="1:16" ht="19.5" hidden="1" x14ac:dyDescent="0.3">
      <c r="A253" s="309"/>
      <c r="B253" s="310"/>
      <c r="C253" s="311" t="s">
        <v>106</v>
      </c>
      <c r="D253" s="312"/>
      <c r="E253" s="312"/>
      <c r="F253" s="312"/>
      <c r="G253" s="313"/>
      <c r="H253" s="314" t="s">
        <v>33</v>
      </c>
      <c r="I253" s="315"/>
      <c r="J253" s="315"/>
      <c r="K253" s="316"/>
      <c r="L253" s="306"/>
      <c r="M253" s="306"/>
      <c r="N253" s="306"/>
      <c r="O253" s="306"/>
      <c r="P253" s="306"/>
    </row>
    <row r="254" spans="1:16" ht="19.5" hidden="1" x14ac:dyDescent="0.3">
      <c r="A254" s="317"/>
      <c r="B254" s="312"/>
      <c r="C254" s="318" t="s">
        <v>16</v>
      </c>
      <c r="D254" s="328" t="s">
        <v>17</v>
      </c>
      <c r="E254" s="312"/>
      <c r="F254" s="312"/>
      <c r="G254" s="313"/>
      <c r="H254" s="320" t="s">
        <v>12</v>
      </c>
      <c r="I254" s="321"/>
      <c r="J254" s="321"/>
      <c r="K254" s="322"/>
      <c r="L254" s="323"/>
      <c r="M254" s="306"/>
      <c r="N254" s="323"/>
      <c r="O254" s="323"/>
      <c r="P254" s="323"/>
    </row>
    <row r="255" spans="1:16" ht="18.75" hidden="1" x14ac:dyDescent="0.25">
      <c r="A255" s="317"/>
      <c r="B255" s="310"/>
      <c r="C255" s="312"/>
      <c r="D255" s="324" t="s">
        <v>80</v>
      </c>
      <c r="E255" s="312"/>
      <c r="F255" s="312"/>
      <c r="G255" s="313"/>
      <c r="H255" s="325" t="s">
        <v>12</v>
      </c>
      <c r="I255" s="321"/>
      <c r="J255" s="321"/>
      <c r="K255" s="322"/>
      <c r="L255" s="307"/>
      <c r="M255" s="306"/>
      <c r="N255" s="307"/>
      <c r="O255" s="306"/>
      <c r="P255" s="306"/>
    </row>
    <row r="256" spans="1:16" ht="18.75" hidden="1" x14ac:dyDescent="0.25">
      <c r="A256" s="309"/>
      <c r="B256" s="310"/>
      <c r="C256" s="310"/>
      <c r="D256" s="324" t="s">
        <v>82</v>
      </c>
      <c r="E256" s="312"/>
      <c r="F256" s="312"/>
      <c r="G256" s="313"/>
      <c r="H256" s="325" t="s">
        <v>12</v>
      </c>
      <c r="I256" s="321"/>
      <c r="J256" s="321"/>
      <c r="K256" s="322"/>
      <c r="L256" s="307"/>
      <c r="M256" s="306"/>
      <c r="N256" s="307"/>
      <c r="O256" s="306"/>
      <c r="P256" s="306"/>
    </row>
    <row r="257" spans="1:16" ht="18.75" hidden="1" x14ac:dyDescent="0.25">
      <c r="A257" s="309"/>
      <c r="B257" s="310"/>
      <c r="C257" s="310"/>
      <c r="D257" s="324" t="s">
        <v>100</v>
      </c>
      <c r="E257" s="312"/>
      <c r="F257" s="312"/>
      <c r="G257" s="313"/>
      <c r="H257" s="325" t="s">
        <v>12</v>
      </c>
      <c r="I257" s="321"/>
      <c r="J257" s="321"/>
      <c r="K257" s="322"/>
      <c r="L257" s="307"/>
      <c r="M257" s="306"/>
      <c r="N257" s="307"/>
      <c r="O257" s="306"/>
      <c r="P257" s="306"/>
    </row>
    <row r="258" spans="1:16" ht="18.75" hidden="1" x14ac:dyDescent="0.25">
      <c r="A258" s="309"/>
      <c r="B258" s="310"/>
      <c r="C258" s="310"/>
      <c r="D258" s="324" t="s">
        <v>101</v>
      </c>
      <c r="E258" s="312"/>
      <c r="F258" s="312"/>
      <c r="G258" s="313"/>
      <c r="H258" s="325" t="s">
        <v>12</v>
      </c>
      <c r="I258" s="321"/>
      <c r="J258" s="321"/>
      <c r="K258" s="322"/>
      <c r="L258" s="307"/>
      <c r="M258" s="306"/>
      <c r="N258" s="307"/>
      <c r="O258" s="306"/>
      <c r="P258" s="306"/>
    </row>
    <row r="259" spans="1:16" ht="19.5" hidden="1" x14ac:dyDescent="0.3">
      <c r="A259" s="309"/>
      <c r="B259" s="310"/>
      <c r="C259" s="327" t="s">
        <v>16</v>
      </c>
      <c r="D259" s="328" t="s">
        <v>36</v>
      </c>
      <c r="E259" s="312"/>
      <c r="F259" s="312"/>
      <c r="G259" s="313"/>
      <c r="H259" s="313"/>
      <c r="I259" s="321"/>
      <c r="J259" s="321"/>
      <c r="K259" s="322"/>
      <c r="L259" s="306"/>
      <c r="M259" s="306"/>
      <c r="N259" s="306"/>
      <c r="O259" s="306"/>
      <c r="P259" s="306"/>
    </row>
    <row r="260" spans="1:16" ht="18.75" hidden="1" x14ac:dyDescent="0.25">
      <c r="A260" s="309"/>
      <c r="B260" s="310"/>
      <c r="C260" s="310"/>
      <c r="D260" s="324" t="s">
        <v>102</v>
      </c>
      <c r="E260" s="312"/>
      <c r="F260" s="312"/>
      <c r="G260" s="313"/>
      <c r="H260" s="329" t="s">
        <v>33</v>
      </c>
      <c r="I260" s="330"/>
      <c r="J260" s="330"/>
      <c r="K260" s="332"/>
      <c r="L260" s="306"/>
      <c r="M260" s="306"/>
      <c r="N260" s="306"/>
      <c r="O260" s="306"/>
      <c r="P260" s="306"/>
    </row>
    <row r="261" spans="1:16" ht="18.75" hidden="1" x14ac:dyDescent="0.25">
      <c r="A261" s="309"/>
      <c r="B261" s="310"/>
      <c r="C261" s="310"/>
      <c r="D261" s="333" t="s">
        <v>41</v>
      </c>
      <c r="E261" s="312"/>
      <c r="F261" s="312"/>
      <c r="G261" s="313"/>
      <c r="H261" s="313"/>
      <c r="I261" s="321"/>
      <c r="J261" s="321"/>
      <c r="K261" s="322"/>
      <c r="L261" s="306"/>
      <c r="M261" s="306"/>
      <c r="N261" s="306"/>
      <c r="O261" s="306"/>
      <c r="P261" s="306"/>
    </row>
    <row r="262" spans="1:16" ht="18.75" hidden="1" x14ac:dyDescent="0.25">
      <c r="A262" s="309"/>
      <c r="B262" s="310"/>
      <c r="C262" s="310"/>
      <c r="D262" s="310"/>
      <c r="E262" s="334" t="s">
        <v>103</v>
      </c>
      <c r="F262" s="312"/>
      <c r="G262" s="313"/>
      <c r="H262" s="329" t="s">
        <v>33</v>
      </c>
      <c r="I262" s="321"/>
      <c r="J262" s="330"/>
      <c r="K262" s="332"/>
      <c r="L262" s="306"/>
      <c r="M262" s="306"/>
      <c r="N262" s="306"/>
      <c r="O262" s="306"/>
      <c r="P262" s="306"/>
    </row>
    <row r="263" spans="1:16" ht="18.75" hidden="1" x14ac:dyDescent="0.25">
      <c r="A263" s="309"/>
      <c r="B263" s="310"/>
      <c r="C263" s="310"/>
      <c r="D263" s="310"/>
      <c r="E263" s="334" t="s">
        <v>104</v>
      </c>
      <c r="F263" s="312"/>
      <c r="G263" s="313"/>
      <c r="H263" s="329" t="s">
        <v>54</v>
      </c>
      <c r="I263" s="321"/>
      <c r="J263" s="330"/>
      <c r="K263" s="332"/>
      <c r="L263" s="306"/>
      <c r="M263" s="306"/>
      <c r="N263" s="306"/>
      <c r="O263" s="306"/>
      <c r="P263" s="306"/>
    </row>
    <row r="264" spans="1:16" ht="19.5" x14ac:dyDescent="0.3">
      <c r="A264" s="263" t="s">
        <v>107</v>
      </c>
      <c r="B264" s="264"/>
      <c r="C264" s="264"/>
      <c r="D264" s="265"/>
      <c r="E264" s="265"/>
      <c r="F264" s="265"/>
      <c r="G264" s="266"/>
      <c r="H264" s="266"/>
      <c r="I264" s="267"/>
      <c r="J264" s="267"/>
      <c r="K264" s="268"/>
      <c r="L264" s="268"/>
      <c r="M264" s="268"/>
      <c r="N264" s="268"/>
      <c r="O264" s="268"/>
      <c r="P264" s="268"/>
    </row>
    <row r="265" spans="1:16" ht="19.5" x14ac:dyDescent="0.3">
      <c r="A265" s="269"/>
      <c r="B265" s="270" t="s">
        <v>108</v>
      </c>
      <c r="C265" s="271"/>
      <c r="D265" s="170"/>
      <c r="E265" s="170"/>
      <c r="F265" s="170"/>
      <c r="G265" s="171"/>
      <c r="H265" s="272" t="s">
        <v>33</v>
      </c>
      <c r="I265" s="335">
        <v>0</v>
      </c>
      <c r="J265" s="335">
        <v>0</v>
      </c>
      <c r="K265" s="274">
        <f>IF(I265&gt;0,J265*100/I265,0)</f>
        <v>0</v>
      </c>
      <c r="L265" s="275"/>
      <c r="M265" s="275"/>
      <c r="N265" s="275"/>
      <c r="O265" s="275"/>
      <c r="P265" s="275"/>
    </row>
    <row r="266" spans="1:16" ht="19.5" x14ac:dyDescent="0.3">
      <c r="A266" s="157"/>
      <c r="B266" s="53"/>
      <c r="C266" s="158" t="s">
        <v>16</v>
      </c>
      <c r="D266" s="159" t="s">
        <v>17</v>
      </c>
      <c r="E266" s="53"/>
      <c r="F266" s="53"/>
      <c r="G266" s="55"/>
      <c r="H266" s="160" t="s">
        <v>12</v>
      </c>
      <c r="I266" s="57"/>
      <c r="J266" s="57"/>
      <c r="K266" s="58"/>
      <c r="L266" s="161">
        <f t="shared" ref="L266:N266" ca="1" si="108">L267+L268</f>
        <v>0</v>
      </c>
      <c r="M266" s="161">
        <f t="shared" ca="1" si="108"/>
        <v>0</v>
      </c>
      <c r="N266" s="161">
        <f t="shared" ca="1" si="108"/>
        <v>0</v>
      </c>
      <c r="O266" s="161">
        <f t="shared" ref="O266:O274" ca="1" si="109">IF(L266&gt;0,N266*100/L266,0)</f>
        <v>0</v>
      </c>
      <c r="P266" s="161">
        <f t="shared" ref="P266:P274" ca="1" si="110">IF(M266&gt;0,N266*100/M266,0)</f>
        <v>0</v>
      </c>
    </row>
    <row r="267" spans="1:16" ht="18.75" x14ac:dyDescent="0.25">
      <c r="A267" s="157"/>
      <c r="B267" s="53"/>
      <c r="C267" s="53"/>
      <c r="D267" s="53"/>
      <c r="E267" s="60" t="s">
        <v>18</v>
      </c>
      <c r="F267" s="53"/>
      <c r="G267" s="55"/>
      <c r="H267" s="162" t="s">
        <v>12</v>
      </c>
      <c r="I267" s="57"/>
      <c r="J267" s="57"/>
      <c r="K267" s="58"/>
      <c r="L267" s="59">
        <f t="shared" ref="L267:N267" ca="1" si="111">L270+L273</f>
        <v>0</v>
      </c>
      <c r="M267" s="59">
        <f t="shared" ca="1" si="111"/>
        <v>0</v>
      </c>
      <c r="N267" s="59">
        <f t="shared" ca="1" si="111"/>
        <v>0</v>
      </c>
      <c r="O267" s="59">
        <f t="shared" ca="1" si="109"/>
        <v>0</v>
      </c>
      <c r="P267" s="59">
        <f t="shared" ca="1" si="110"/>
        <v>0</v>
      </c>
    </row>
    <row r="268" spans="1:16" ht="18.75" x14ac:dyDescent="0.25">
      <c r="A268" s="157"/>
      <c r="B268" s="53"/>
      <c r="C268" s="53"/>
      <c r="D268" s="53"/>
      <c r="E268" s="60" t="s">
        <v>19</v>
      </c>
      <c r="F268" s="53"/>
      <c r="G268" s="55"/>
      <c r="H268" s="162" t="s">
        <v>12</v>
      </c>
      <c r="I268" s="57"/>
      <c r="J268" s="57"/>
      <c r="K268" s="58"/>
      <c r="L268" s="59">
        <f t="shared" ref="L268:N268" ca="1" si="112">L271+L274</f>
        <v>0</v>
      </c>
      <c r="M268" s="59">
        <f t="shared" ca="1" si="112"/>
        <v>0</v>
      </c>
      <c r="N268" s="59">
        <f t="shared" ca="1" si="112"/>
        <v>0</v>
      </c>
      <c r="O268" s="59">
        <f t="shared" ca="1" si="109"/>
        <v>0</v>
      </c>
      <c r="P268" s="59">
        <f t="shared" ca="1" si="110"/>
        <v>0</v>
      </c>
    </row>
    <row r="269" spans="1:16" ht="18.75" x14ac:dyDescent="0.25">
      <c r="A269" s="157"/>
      <c r="B269" s="53"/>
      <c r="C269" s="53"/>
      <c r="D269" s="54" t="s">
        <v>20</v>
      </c>
      <c r="E269" s="53"/>
      <c r="F269" s="53"/>
      <c r="G269" s="55"/>
      <c r="H269" s="163" t="s">
        <v>12</v>
      </c>
      <c r="I269" s="164"/>
      <c r="J269" s="164"/>
      <c r="K269" s="165"/>
      <c r="L269" s="59">
        <f t="shared" ref="L269:N269" ca="1" si="113">L270+L271</f>
        <v>0</v>
      </c>
      <c r="M269" s="59">
        <f t="shared" ca="1" si="113"/>
        <v>0</v>
      </c>
      <c r="N269" s="59">
        <f t="shared" ca="1" si="113"/>
        <v>0</v>
      </c>
      <c r="O269" s="59">
        <f t="shared" ca="1" si="109"/>
        <v>0</v>
      </c>
      <c r="P269" s="59">
        <f t="shared" ca="1" si="110"/>
        <v>0</v>
      </c>
    </row>
    <row r="270" spans="1:16" ht="18.75" x14ac:dyDescent="0.25">
      <c r="A270" s="157"/>
      <c r="B270" s="53"/>
      <c r="C270" s="53"/>
      <c r="D270" s="53"/>
      <c r="E270" s="60" t="s">
        <v>34</v>
      </c>
      <c r="F270" s="53"/>
      <c r="G270" s="55"/>
      <c r="H270" s="163" t="s">
        <v>12</v>
      </c>
      <c r="I270" s="164"/>
      <c r="J270" s="164"/>
      <c r="K270" s="165"/>
      <c r="L270" s="59">
        <f ca="1">IFERROR(__xludf.DUMMYFUNCTION("IMPORTRANGE(""https://docs.google.com/spreadsheets/d/13wPX838HrBrQMCywv1BsuMkt4PEKTChp52zj44s2izQ/edit?usp=sharing"",""กาญจนบุรี!L270"")+IMPORTRANGE(""https://docs.google.com/spreadsheets/d/1ddFKvqj1W1NEiWytbGlB1zMx_ykJDVtmfEQ-6-lIUBA/edit?usp=sharing"","&amp;"""จันทบุรี!L270"")+IMPORTRANGE(""https://docs.google.com/spreadsheets/d/1T1PQvRODqOBZk8BRht_U031fIS1beLA0Ub2CEytj2q0/edit?usp=sharing"",""ฉะเชิงเทรา!L270"")+IMPORTRANGE(""https://docs.google.com/spreadsheets/d/11tr1B-Bhyr79v2bkwVh5h_fR-PStkgjlZtkrZpYurG0/"&amp;"edit?usp=sharing"",""ชลบุรี!L270"")+IMPORTRANGE(""https://docs.google.com/spreadsheets/d/1hh-FVnSX0vozXhGluamEcS54Dw9_zqW0N7qJUWgJ0Sw/edit?usp=sharing"",""ชัยนาท!L270"")+IMPORTRANGE(""https://docs.google.com/spreadsheets/d/1jkqa6GXxSacMcY1eN8AHjMNJ_7dDXMJ"&amp;"VRLDlaFSOdPM/edit?usp=sharing"",""ตราด!L270"")+IMPORTRANGE(""https://docs.google.com/spreadsheets/d/18hSgUJ3VwClqi_qtULmmW3cLr0oe3OKaSYoKzdpTsYQ/edit?usp=sharing"",""นครนายก!L270"")+IMPORTRANGE(""https://docs.google.com/spreadsheets/d/1YTZo6WM2dQ6Ix6FSdnL"&amp;"5P7uVnVKu40sxZu975tgG10E/edit?usp=sharing"",""นครปฐม!L270"")+IMPORTRANGE(""https://docs.google.com/spreadsheets/d/1OYoGg4WDg5RIzwGeB10padOxJF9E_Vljuvvct_M7RDo/edit?usp=sharing"",""ปทุมธานี!L270"")+IMPORTRANGE(""https://docs.google.com/spreadsheets/d/1GbCI"&amp;"E4D4wk9FUozzqk7SxfDMxDVBwVmI5zcaVUSzKAc/edit?usp=sharing"",""ประจวบคีรีขันธ์!L270"")+IMPORTRANGE(""https://docs.google.com/spreadsheets/d/1vVf6wykvW_lAyu7Yo9L4hUTqHqIeP_qcVuxCtosJEbg/edit?usp=sharing"",""ปราจีนบุรี!L270"")+IMPORTRANGE(""https://docs.googl"&amp;"e.com/spreadsheets/d/1BIDqLLg5jk3v59G8NlR8rk5xfQDKne0sAvZHSj7TI6I/edit?usp=sharing"",""พระนครศรีอยุธยา!L270"")+IMPORTRANGE(""https://docs.google.com/spreadsheets/d/1YXvxf8Yu6_rV4hTBrwMqAcAnv6DfhUxh5emyM3CJp_w/edit?usp=sharing"",""เพชรบุรี!L270"")+IMPORTRA"&amp;"NGE(""https://docs.google.com/spreadsheets/d/19KBlQQs7uwvsao6t2n-KvW3Ax8J8uRRfZPq1zPbXgKc/edit?usp=sharing"",""ระยอง!L270"")+IMPORTRANGE(""https://docs.google.com/spreadsheets/d/1jQ6P4QcrGM89YfqcC_PxOHGCMq5ezhucwJd8ci-NHng/edit?usp=sharing"",""ราชบุรี!L27"&amp;"0"")+IMPORTRANGE(""https://docs.google.com/spreadsheets/d/1lufeA2cfFqM-elVq2hznhDzC6Pr7wkJ9ZG_sYNGCMCU/edit?usp=sharing"",""ลพบุรี!L270"")+IMPORTRANGE(""https://docs.google.com/spreadsheets/d/10oOiF7loTyfsTkbd4MpaIm0HQ9SwB7IYHdIUvt-U1Uc/edit?usp=sharing"""&amp;",""สระแก้ว!L270"")+IMPORTRANGE(""https://docs.google.com/spreadsheets/d/1xmPlrr1QbdSIKvl1dWUl9K4PjAfSL9oeMr_37QVzcxc/edit?usp=sharing"",""สระบุรี!L270"")+IMPORTRANGE(""https://docs.google.com/spreadsheets/d/1j51vR6CYVGhABJpv6tkstgok82RLpXieLzW1yOY5rHw/edi"&amp;"t?usp=sharing"",""สิงห์บุรี!L270"")+IMPORTRANGE(""https://docs.google.com/spreadsheets/d/1H1EalTWKUSzO4Z1-1CwzoDUaVffgrThEBe2sl74kKG0/edit?usp=sharing"",""สุพรรณบุรี!L270"")+IMPORTRANGE(""https://docs.google.com/spreadsheets/d/1BmIruG_sIrJLYao_Pdr7zVArWsf"&amp;"oBt2692TMi6x_854/edit?usp=sharing"",""อ่างทอง!L270"")"),0)</f>
        <v>0</v>
      </c>
      <c r="M270" s="59">
        <f ca="1">IFERROR(__xludf.DUMMYFUNCTION("IMPORTRANGE(""https://docs.google.com/spreadsheets/d/13wPX838HrBrQMCywv1BsuMkt4PEKTChp52zj44s2izQ/edit?usp=sharing"",""กาญจนบุรี!M270"")+IMPORTRANGE(""https://docs.google.com/spreadsheets/d/1ddFKvqj1W1NEiWytbGlB1zMx_ykJDVtmfEQ-6-lIUBA/edit?usp=sharing"","&amp;"""จันทบุรี!M270"")+IMPORTRANGE(""https://docs.google.com/spreadsheets/d/1T1PQvRODqOBZk8BRht_U031fIS1beLA0Ub2CEytj2q0/edit?usp=sharing"",""ฉะเชิงเทรา!M270"")+IMPORTRANGE(""https://docs.google.com/spreadsheets/d/11tr1B-Bhyr79v2bkwVh5h_fR-PStkgjlZtkrZpYurG0/"&amp;"edit?usp=sharing"",""ชลบุรี!M270"")+IMPORTRANGE(""https://docs.google.com/spreadsheets/d/1hh-FVnSX0vozXhGluamEcS54Dw9_zqW0N7qJUWgJ0Sw/edit?usp=sharing"",""ชัยนาท!M270"")+IMPORTRANGE(""https://docs.google.com/spreadsheets/d/1jkqa6GXxSacMcY1eN8AHjMNJ_7dDXMJ"&amp;"VRLDlaFSOdPM/edit?usp=sharing"",""ตราด!M270"")+IMPORTRANGE(""https://docs.google.com/spreadsheets/d/18hSgUJ3VwClqi_qtULmmW3cLr0oe3OKaSYoKzdpTsYQ/edit?usp=sharing"",""นครนายก!M270"")+IMPORTRANGE(""https://docs.google.com/spreadsheets/d/1YTZo6WM2dQ6Ix6FSdnL"&amp;"5P7uVnVKu40sxZu975tgG10E/edit?usp=sharing"",""นครปฐม!M270"")+IMPORTRANGE(""https://docs.google.com/spreadsheets/d/1OYoGg4WDg5RIzwGeB10padOxJF9E_Vljuvvct_M7RDo/edit?usp=sharing"",""ปทุมธานี!M270"")+IMPORTRANGE(""https://docs.google.com/spreadsheets/d/1GbCI"&amp;"E4D4wk9FUozzqk7SxfDMxDVBwVmI5zcaVUSzKAc/edit?usp=sharing"",""ประจวบคีรีขันธ์!M270"")+IMPORTRANGE(""https://docs.google.com/spreadsheets/d/1vVf6wykvW_lAyu7Yo9L4hUTqHqIeP_qcVuxCtosJEbg/edit?usp=sharing"",""ปราจีนบุรี!M270"")+IMPORTRANGE(""https://docs.googl"&amp;"e.com/spreadsheets/d/1BIDqLLg5jk3v59G8NlR8rk5xfQDKne0sAvZHSj7TI6I/edit?usp=sharing"",""พระนครศรีอยุธยา!M270"")+IMPORTRANGE(""https://docs.google.com/spreadsheets/d/1YXvxf8Yu6_rV4hTBrwMqAcAnv6DfhUxh5emyM3CJp_w/edit?usp=sharing"",""เพชรบุรี!M270"")+IMPORTRA"&amp;"NGE(""https://docs.google.com/spreadsheets/d/19KBlQQs7uwvsao6t2n-KvW3Ax8J8uRRfZPq1zPbXgKc/edit?usp=sharing"",""ระยอง!M270"")+IMPORTRANGE(""https://docs.google.com/spreadsheets/d/1jQ6P4QcrGM89YfqcC_PxOHGCMq5ezhucwJd8ci-NHng/edit?usp=sharing"",""ราชบุรี!M27"&amp;"0"")+IMPORTRANGE(""https://docs.google.com/spreadsheets/d/1lufeA2cfFqM-elVq2hznhDzC6Pr7wkJ9ZG_sYNGCMCU/edit?usp=sharing"",""ลพบุรี!M270"")+IMPORTRANGE(""https://docs.google.com/spreadsheets/d/10oOiF7loTyfsTkbd4MpaIm0HQ9SwB7IYHdIUvt-U1Uc/edit?usp=sharing"""&amp;",""สระแก้ว!M270"")+IMPORTRANGE(""https://docs.google.com/spreadsheets/d/1xmPlrr1QbdSIKvl1dWUl9K4PjAfSL9oeMr_37QVzcxc/edit?usp=sharing"",""สระบุรี!M270"")+IMPORTRANGE(""https://docs.google.com/spreadsheets/d/1j51vR6CYVGhABJpv6tkstgok82RLpXieLzW1yOY5rHw/edi"&amp;"t?usp=sharing"",""สิงห์บุรี!M270"")+IMPORTRANGE(""https://docs.google.com/spreadsheets/d/1H1EalTWKUSzO4Z1-1CwzoDUaVffgrThEBe2sl74kKG0/edit?usp=sharing"",""สุพรรณบุรี!M270"")+IMPORTRANGE(""https://docs.google.com/spreadsheets/d/1BmIruG_sIrJLYao_Pdr7zVArWsf"&amp;"oBt2692TMi6x_854/edit?usp=sharing"",""อ่างทอง!M270"")"),0)</f>
        <v>0</v>
      </c>
      <c r="N270" s="59">
        <f ca="1">IFERROR(__xludf.DUMMYFUNCTION("IMPORTRANGE(""https://docs.google.com/spreadsheets/d/13wPX838HrBrQMCywv1BsuMkt4PEKTChp52zj44s2izQ/edit?usp=sharing"",""กาญจนบุรี!N270"")+IMPORTRANGE(""https://docs.google.com/spreadsheets/d/1ddFKvqj1W1NEiWytbGlB1zMx_ykJDVtmfEQ-6-lIUBA/edit?usp=sharing"","&amp;"""จันทบุรี!N270"")+IMPORTRANGE(""https://docs.google.com/spreadsheets/d/1T1PQvRODqOBZk8BRht_U031fIS1beLA0Ub2CEytj2q0/edit?usp=sharing"",""ฉะเชิงเทรา!N270"")+IMPORTRANGE(""https://docs.google.com/spreadsheets/d/11tr1B-Bhyr79v2bkwVh5h_fR-PStkgjlZtkrZpYurG0/"&amp;"edit?usp=sharing"",""ชลบุรี!N270"")+IMPORTRANGE(""https://docs.google.com/spreadsheets/d/1hh-FVnSX0vozXhGluamEcS54Dw9_zqW0N7qJUWgJ0Sw/edit?usp=sharing"",""ชัยนาท!N270"")+IMPORTRANGE(""https://docs.google.com/spreadsheets/d/1jkqa6GXxSacMcY1eN8AHjMNJ_7dDXMJ"&amp;"VRLDlaFSOdPM/edit?usp=sharing"",""ตราด!N270"")+IMPORTRANGE(""https://docs.google.com/spreadsheets/d/18hSgUJ3VwClqi_qtULmmW3cLr0oe3OKaSYoKzdpTsYQ/edit?usp=sharing"",""นครนายก!N270"")+IMPORTRANGE(""https://docs.google.com/spreadsheets/d/1YTZo6WM2dQ6Ix6FSdnL"&amp;"5P7uVnVKu40sxZu975tgG10E/edit?usp=sharing"",""นครปฐม!N270"")+IMPORTRANGE(""https://docs.google.com/spreadsheets/d/1OYoGg4WDg5RIzwGeB10padOxJF9E_Vljuvvct_M7RDo/edit?usp=sharing"",""ปทุมธานี!N270"")+IMPORTRANGE(""https://docs.google.com/spreadsheets/d/1GbCI"&amp;"E4D4wk9FUozzqk7SxfDMxDVBwVmI5zcaVUSzKAc/edit?usp=sharing"",""ประจวบคีรีขันธ์!N270"")+IMPORTRANGE(""https://docs.google.com/spreadsheets/d/1vVf6wykvW_lAyu7Yo9L4hUTqHqIeP_qcVuxCtosJEbg/edit?usp=sharing"",""ปราจีนบุรี!N270"")+IMPORTRANGE(""https://docs.googl"&amp;"e.com/spreadsheets/d/1BIDqLLg5jk3v59G8NlR8rk5xfQDKne0sAvZHSj7TI6I/edit?usp=sharing"",""พระนครศรีอยุธยา!N270"")+IMPORTRANGE(""https://docs.google.com/spreadsheets/d/1YXvxf8Yu6_rV4hTBrwMqAcAnv6DfhUxh5emyM3CJp_w/edit?usp=sharing"",""เพชรบุรี!N270"")+IMPORTRA"&amp;"NGE(""https://docs.google.com/spreadsheets/d/19KBlQQs7uwvsao6t2n-KvW3Ax8J8uRRfZPq1zPbXgKc/edit?usp=sharing"",""ระยอง!N270"")+IMPORTRANGE(""https://docs.google.com/spreadsheets/d/1jQ6P4QcrGM89YfqcC_PxOHGCMq5ezhucwJd8ci-NHng/edit?usp=sharing"",""ราชบุรี!N27"&amp;"0"")+IMPORTRANGE(""https://docs.google.com/spreadsheets/d/1lufeA2cfFqM-elVq2hznhDzC6Pr7wkJ9ZG_sYNGCMCU/edit?usp=sharing"",""ลพบุรี!N270"")+IMPORTRANGE(""https://docs.google.com/spreadsheets/d/10oOiF7loTyfsTkbd4MpaIm0HQ9SwB7IYHdIUvt-U1Uc/edit?usp=sharing"""&amp;",""สระแก้ว!N270"")+IMPORTRANGE(""https://docs.google.com/spreadsheets/d/1xmPlrr1QbdSIKvl1dWUl9K4PjAfSL9oeMr_37QVzcxc/edit?usp=sharing"",""สระบุรี!N270"")+IMPORTRANGE(""https://docs.google.com/spreadsheets/d/1j51vR6CYVGhABJpv6tkstgok82RLpXieLzW1yOY5rHw/edi"&amp;"t?usp=sharing"",""สิงห์บุรี!N270"")+IMPORTRANGE(""https://docs.google.com/spreadsheets/d/1H1EalTWKUSzO4Z1-1CwzoDUaVffgrThEBe2sl74kKG0/edit?usp=sharing"",""สุพรรณบุรี!N270"")+IMPORTRANGE(""https://docs.google.com/spreadsheets/d/1BmIruG_sIrJLYao_Pdr7zVArWsf"&amp;"oBt2692TMi6x_854/edit?usp=sharing"",""อ่างทอง!N270"")"),0)</f>
        <v>0</v>
      </c>
      <c r="O270" s="59">
        <f t="shared" ca="1" si="109"/>
        <v>0</v>
      </c>
      <c r="P270" s="59">
        <f t="shared" ca="1" si="110"/>
        <v>0</v>
      </c>
    </row>
    <row r="271" spans="1:16" ht="18.75" x14ac:dyDescent="0.25">
      <c r="A271" s="157"/>
      <c r="B271" s="53"/>
      <c r="C271" s="53"/>
      <c r="D271" s="53"/>
      <c r="E271" s="60" t="s">
        <v>35</v>
      </c>
      <c r="F271" s="53"/>
      <c r="G271" s="55"/>
      <c r="H271" s="163" t="s">
        <v>12</v>
      </c>
      <c r="I271" s="164"/>
      <c r="J271" s="164"/>
      <c r="K271" s="165"/>
      <c r="L271" s="59">
        <f ca="1">IFERROR(__xludf.DUMMYFUNCTION("IMPORTRANGE(""https://docs.google.com/spreadsheets/d/13wPX838HrBrQMCywv1BsuMkt4PEKTChp52zj44s2izQ/edit?usp=sharing"",""กาญจนบุรี!L271"")+IMPORTRANGE(""https://docs.google.com/spreadsheets/d/1ddFKvqj1W1NEiWytbGlB1zMx_ykJDVtmfEQ-6-lIUBA/edit?usp=sharing"","&amp;"""จันทบุรี!L271"")+IMPORTRANGE(""https://docs.google.com/spreadsheets/d/1T1PQvRODqOBZk8BRht_U031fIS1beLA0Ub2CEytj2q0/edit?usp=sharing"",""ฉะเชิงเทรา!L271"")+IMPORTRANGE(""https://docs.google.com/spreadsheets/d/11tr1B-Bhyr79v2bkwVh5h_fR-PStkgjlZtkrZpYurG0/"&amp;"edit?usp=sharing"",""ชลบุรี!L271"")+IMPORTRANGE(""https://docs.google.com/spreadsheets/d/1hh-FVnSX0vozXhGluamEcS54Dw9_zqW0N7qJUWgJ0Sw/edit?usp=sharing"",""ชัยนาท!L271"")+IMPORTRANGE(""https://docs.google.com/spreadsheets/d/1jkqa6GXxSacMcY1eN8AHjMNJ_7dDXMJ"&amp;"VRLDlaFSOdPM/edit?usp=sharing"",""ตราด!L271"")+IMPORTRANGE(""https://docs.google.com/spreadsheets/d/18hSgUJ3VwClqi_qtULmmW3cLr0oe3OKaSYoKzdpTsYQ/edit?usp=sharing"",""นครนายก!L271"")+IMPORTRANGE(""https://docs.google.com/spreadsheets/d/1YTZo6WM2dQ6Ix6FSdnL"&amp;"5P7uVnVKu40sxZu975tgG10E/edit?usp=sharing"",""นครปฐม!L271"")+IMPORTRANGE(""https://docs.google.com/spreadsheets/d/1OYoGg4WDg5RIzwGeB10padOxJF9E_Vljuvvct_M7RDo/edit?usp=sharing"",""ปทุมธานี!L271"")+IMPORTRANGE(""https://docs.google.com/spreadsheets/d/1GbCI"&amp;"E4D4wk9FUozzqk7SxfDMxDVBwVmI5zcaVUSzKAc/edit?usp=sharing"",""ประจวบคีรีขันธ์!L271"")+IMPORTRANGE(""https://docs.google.com/spreadsheets/d/1vVf6wykvW_lAyu7Yo9L4hUTqHqIeP_qcVuxCtosJEbg/edit?usp=sharing"",""ปราจีนบุรี!L271"")+IMPORTRANGE(""https://docs.googl"&amp;"e.com/spreadsheets/d/1BIDqLLg5jk3v59G8NlR8rk5xfQDKne0sAvZHSj7TI6I/edit?usp=sharing"",""พระนครศรีอยุธยา!L271"")+IMPORTRANGE(""https://docs.google.com/spreadsheets/d/1YXvxf8Yu6_rV4hTBrwMqAcAnv6DfhUxh5emyM3CJp_w/edit?usp=sharing"",""เพชรบุรี!L271"")+IMPORTRA"&amp;"NGE(""https://docs.google.com/spreadsheets/d/19KBlQQs7uwvsao6t2n-KvW3Ax8J8uRRfZPq1zPbXgKc/edit?usp=sharing"",""ระยอง!L271"")+IMPORTRANGE(""https://docs.google.com/spreadsheets/d/1jQ6P4QcrGM89YfqcC_PxOHGCMq5ezhucwJd8ci-NHng/edit?usp=sharing"",""ราชบุรี!L27"&amp;"1"")+IMPORTRANGE(""https://docs.google.com/spreadsheets/d/1lufeA2cfFqM-elVq2hznhDzC6Pr7wkJ9ZG_sYNGCMCU/edit?usp=sharing"",""ลพบุรี!L271"")+IMPORTRANGE(""https://docs.google.com/spreadsheets/d/10oOiF7loTyfsTkbd4MpaIm0HQ9SwB7IYHdIUvt-U1Uc/edit?usp=sharing"""&amp;",""สระแก้ว!L271"")+IMPORTRANGE(""https://docs.google.com/spreadsheets/d/1xmPlrr1QbdSIKvl1dWUl9K4PjAfSL9oeMr_37QVzcxc/edit?usp=sharing"",""สระบุรี!L271"")+IMPORTRANGE(""https://docs.google.com/spreadsheets/d/1j51vR6CYVGhABJpv6tkstgok82RLpXieLzW1yOY5rHw/edi"&amp;"t?usp=sharing"",""สิงห์บุรี!L271"")+IMPORTRANGE(""https://docs.google.com/spreadsheets/d/1H1EalTWKUSzO4Z1-1CwzoDUaVffgrThEBe2sl74kKG0/edit?usp=sharing"",""สุพรรณบุรี!L271"")+IMPORTRANGE(""https://docs.google.com/spreadsheets/d/1BmIruG_sIrJLYao_Pdr7zVArWsf"&amp;"oBt2692TMi6x_854/edit?usp=sharing"",""อ่างทอง!L271"")"),0)</f>
        <v>0</v>
      </c>
      <c r="M271" s="59">
        <f ca="1">IFERROR(__xludf.DUMMYFUNCTION("IMPORTRANGE(""https://docs.google.com/spreadsheets/d/13wPX838HrBrQMCywv1BsuMkt4PEKTChp52zj44s2izQ/edit?usp=sharing"",""กาญจนบุรี!M271"")+IMPORTRANGE(""https://docs.google.com/spreadsheets/d/1ddFKvqj1W1NEiWytbGlB1zMx_ykJDVtmfEQ-6-lIUBA/edit?usp=sharing"","&amp;"""จันทบุรี!M271"")+IMPORTRANGE(""https://docs.google.com/spreadsheets/d/1T1PQvRODqOBZk8BRht_U031fIS1beLA0Ub2CEytj2q0/edit?usp=sharing"",""ฉะเชิงเทรา!M271"")+IMPORTRANGE(""https://docs.google.com/spreadsheets/d/11tr1B-Bhyr79v2bkwVh5h_fR-PStkgjlZtkrZpYurG0/"&amp;"edit?usp=sharing"",""ชลบุรี!M271"")+IMPORTRANGE(""https://docs.google.com/spreadsheets/d/1hh-FVnSX0vozXhGluamEcS54Dw9_zqW0N7qJUWgJ0Sw/edit?usp=sharing"",""ชัยนาท!M271"")+IMPORTRANGE(""https://docs.google.com/spreadsheets/d/1jkqa6GXxSacMcY1eN8AHjMNJ_7dDXMJ"&amp;"VRLDlaFSOdPM/edit?usp=sharing"",""ตราด!M271"")+IMPORTRANGE(""https://docs.google.com/spreadsheets/d/18hSgUJ3VwClqi_qtULmmW3cLr0oe3OKaSYoKzdpTsYQ/edit?usp=sharing"",""นครนายก!M271"")+IMPORTRANGE(""https://docs.google.com/spreadsheets/d/1YTZo6WM2dQ6Ix6FSdnL"&amp;"5P7uVnVKu40sxZu975tgG10E/edit?usp=sharing"",""นครปฐม!M271"")+IMPORTRANGE(""https://docs.google.com/spreadsheets/d/1OYoGg4WDg5RIzwGeB10padOxJF9E_Vljuvvct_M7RDo/edit?usp=sharing"",""ปทุมธานี!M271"")+IMPORTRANGE(""https://docs.google.com/spreadsheets/d/1GbCI"&amp;"E4D4wk9FUozzqk7SxfDMxDVBwVmI5zcaVUSzKAc/edit?usp=sharing"",""ประจวบคีรีขันธ์!M271"")+IMPORTRANGE(""https://docs.google.com/spreadsheets/d/1vVf6wykvW_lAyu7Yo9L4hUTqHqIeP_qcVuxCtosJEbg/edit?usp=sharing"",""ปราจีนบุรี!M271"")+IMPORTRANGE(""https://docs.googl"&amp;"e.com/spreadsheets/d/1BIDqLLg5jk3v59G8NlR8rk5xfQDKne0sAvZHSj7TI6I/edit?usp=sharing"",""พระนครศรีอยุธยา!M271"")+IMPORTRANGE(""https://docs.google.com/spreadsheets/d/1YXvxf8Yu6_rV4hTBrwMqAcAnv6DfhUxh5emyM3CJp_w/edit?usp=sharing"",""เพชรบุรี!M271"")+IMPORTRA"&amp;"NGE(""https://docs.google.com/spreadsheets/d/19KBlQQs7uwvsao6t2n-KvW3Ax8J8uRRfZPq1zPbXgKc/edit?usp=sharing"",""ระยอง!M271"")+IMPORTRANGE(""https://docs.google.com/spreadsheets/d/1jQ6P4QcrGM89YfqcC_PxOHGCMq5ezhucwJd8ci-NHng/edit?usp=sharing"",""ราชบุรี!M27"&amp;"1"")+IMPORTRANGE(""https://docs.google.com/spreadsheets/d/1lufeA2cfFqM-elVq2hznhDzC6Pr7wkJ9ZG_sYNGCMCU/edit?usp=sharing"",""ลพบุรี!M271"")+IMPORTRANGE(""https://docs.google.com/spreadsheets/d/10oOiF7loTyfsTkbd4MpaIm0HQ9SwB7IYHdIUvt-U1Uc/edit?usp=sharing"""&amp;",""สระแก้ว!M271"")+IMPORTRANGE(""https://docs.google.com/spreadsheets/d/1xmPlrr1QbdSIKvl1dWUl9K4PjAfSL9oeMr_37QVzcxc/edit?usp=sharing"",""สระบุรี!M271"")+IMPORTRANGE(""https://docs.google.com/spreadsheets/d/1j51vR6CYVGhABJpv6tkstgok82RLpXieLzW1yOY5rHw/edi"&amp;"t?usp=sharing"",""สิงห์บุรี!M271"")+IMPORTRANGE(""https://docs.google.com/spreadsheets/d/1H1EalTWKUSzO4Z1-1CwzoDUaVffgrThEBe2sl74kKG0/edit?usp=sharing"",""สุพรรณบุรี!M271"")+IMPORTRANGE(""https://docs.google.com/spreadsheets/d/1BmIruG_sIrJLYao_Pdr7zVArWsf"&amp;"oBt2692TMi6x_854/edit?usp=sharing"",""อ่างทอง!M271"")"),0)</f>
        <v>0</v>
      </c>
      <c r="N271" s="59">
        <f ca="1">IFERROR(__xludf.DUMMYFUNCTION("IMPORTRANGE(""https://docs.google.com/spreadsheets/d/13wPX838HrBrQMCywv1BsuMkt4PEKTChp52zj44s2izQ/edit?usp=sharing"",""กาญจนบุรี!N271"")+IMPORTRANGE(""https://docs.google.com/spreadsheets/d/1ddFKvqj1W1NEiWytbGlB1zMx_ykJDVtmfEQ-6-lIUBA/edit?usp=sharing"","&amp;"""จันทบุรี!N271"")+IMPORTRANGE(""https://docs.google.com/spreadsheets/d/1T1PQvRODqOBZk8BRht_U031fIS1beLA0Ub2CEytj2q0/edit?usp=sharing"",""ฉะเชิงเทรา!N271"")+IMPORTRANGE(""https://docs.google.com/spreadsheets/d/11tr1B-Bhyr79v2bkwVh5h_fR-PStkgjlZtkrZpYurG0/"&amp;"edit?usp=sharing"",""ชลบุรี!N271"")+IMPORTRANGE(""https://docs.google.com/spreadsheets/d/1hh-FVnSX0vozXhGluamEcS54Dw9_zqW0N7qJUWgJ0Sw/edit?usp=sharing"",""ชัยนาท!N271"")+IMPORTRANGE(""https://docs.google.com/spreadsheets/d/1jkqa6GXxSacMcY1eN8AHjMNJ_7dDXMJ"&amp;"VRLDlaFSOdPM/edit?usp=sharing"",""ตราด!N271"")+IMPORTRANGE(""https://docs.google.com/spreadsheets/d/18hSgUJ3VwClqi_qtULmmW3cLr0oe3OKaSYoKzdpTsYQ/edit?usp=sharing"",""นครนายก!N271"")+IMPORTRANGE(""https://docs.google.com/spreadsheets/d/1YTZo6WM2dQ6Ix6FSdnL"&amp;"5P7uVnVKu40sxZu975tgG10E/edit?usp=sharing"",""นครปฐม!N271"")+IMPORTRANGE(""https://docs.google.com/spreadsheets/d/1OYoGg4WDg5RIzwGeB10padOxJF9E_Vljuvvct_M7RDo/edit?usp=sharing"",""ปทุมธานี!N271"")+IMPORTRANGE(""https://docs.google.com/spreadsheets/d/1GbCI"&amp;"E4D4wk9FUozzqk7SxfDMxDVBwVmI5zcaVUSzKAc/edit?usp=sharing"",""ประจวบคีรีขันธ์!N271"")+IMPORTRANGE(""https://docs.google.com/spreadsheets/d/1vVf6wykvW_lAyu7Yo9L4hUTqHqIeP_qcVuxCtosJEbg/edit?usp=sharing"",""ปราจีนบุรี!N271"")+IMPORTRANGE(""https://docs.googl"&amp;"e.com/spreadsheets/d/1BIDqLLg5jk3v59G8NlR8rk5xfQDKne0sAvZHSj7TI6I/edit?usp=sharing"",""พระนครศรีอยุธยา!N271"")+IMPORTRANGE(""https://docs.google.com/spreadsheets/d/1YXvxf8Yu6_rV4hTBrwMqAcAnv6DfhUxh5emyM3CJp_w/edit?usp=sharing"",""เพชรบุรี!N271"")+IMPORTRA"&amp;"NGE(""https://docs.google.com/spreadsheets/d/19KBlQQs7uwvsao6t2n-KvW3Ax8J8uRRfZPq1zPbXgKc/edit?usp=sharing"",""ระยอง!N271"")+IMPORTRANGE(""https://docs.google.com/spreadsheets/d/1jQ6P4QcrGM89YfqcC_PxOHGCMq5ezhucwJd8ci-NHng/edit?usp=sharing"",""ราชบุรี!N27"&amp;"1"")+IMPORTRANGE(""https://docs.google.com/spreadsheets/d/1lufeA2cfFqM-elVq2hznhDzC6Pr7wkJ9ZG_sYNGCMCU/edit?usp=sharing"",""ลพบุรี!N271"")+IMPORTRANGE(""https://docs.google.com/spreadsheets/d/10oOiF7loTyfsTkbd4MpaIm0HQ9SwB7IYHdIUvt-U1Uc/edit?usp=sharing"""&amp;",""สระแก้ว!N271"")+IMPORTRANGE(""https://docs.google.com/spreadsheets/d/1xmPlrr1QbdSIKvl1dWUl9K4PjAfSL9oeMr_37QVzcxc/edit?usp=sharing"",""สระบุรี!N271"")+IMPORTRANGE(""https://docs.google.com/spreadsheets/d/1j51vR6CYVGhABJpv6tkstgok82RLpXieLzW1yOY5rHw/edi"&amp;"t?usp=sharing"",""สิงห์บุรี!N271"")+IMPORTRANGE(""https://docs.google.com/spreadsheets/d/1H1EalTWKUSzO4Z1-1CwzoDUaVffgrThEBe2sl74kKG0/edit?usp=sharing"",""สุพรรณบุรี!N271"")+IMPORTRANGE(""https://docs.google.com/spreadsheets/d/1BmIruG_sIrJLYao_Pdr7zVArWsf"&amp;"oBt2692TMi6x_854/edit?usp=sharing"",""อ่างทอง!N271"")"),0)</f>
        <v>0</v>
      </c>
      <c r="O271" s="59">
        <f t="shared" ca="1" si="109"/>
        <v>0</v>
      </c>
      <c r="P271" s="59">
        <f t="shared" ca="1" si="110"/>
        <v>0</v>
      </c>
    </row>
    <row r="272" spans="1:16" ht="18.75" x14ac:dyDescent="0.25">
      <c r="A272" s="157"/>
      <c r="B272" s="53"/>
      <c r="C272" s="53"/>
      <c r="D272" s="54" t="s">
        <v>21</v>
      </c>
      <c r="E272" s="53"/>
      <c r="F272" s="53"/>
      <c r="G272" s="55"/>
      <c r="H272" s="166" t="s">
        <v>12</v>
      </c>
      <c r="I272" s="164"/>
      <c r="J272" s="164"/>
      <c r="K272" s="165"/>
      <c r="L272" s="59">
        <f t="shared" ref="L272:N272" ca="1" si="114">L273+L274</f>
        <v>0</v>
      </c>
      <c r="M272" s="59">
        <f t="shared" ca="1" si="114"/>
        <v>0</v>
      </c>
      <c r="N272" s="59">
        <f t="shared" ca="1" si="114"/>
        <v>0</v>
      </c>
      <c r="O272" s="59">
        <f t="shared" ca="1" si="109"/>
        <v>0</v>
      </c>
      <c r="P272" s="59">
        <f t="shared" ca="1" si="110"/>
        <v>0</v>
      </c>
    </row>
    <row r="273" spans="1:16" ht="18.75" x14ac:dyDescent="0.25">
      <c r="A273" s="157"/>
      <c r="B273" s="53"/>
      <c r="C273" s="53"/>
      <c r="D273" s="53"/>
      <c r="E273" s="60" t="s">
        <v>18</v>
      </c>
      <c r="F273" s="53"/>
      <c r="G273" s="55"/>
      <c r="H273" s="163" t="s">
        <v>12</v>
      </c>
      <c r="I273" s="164"/>
      <c r="J273" s="164"/>
      <c r="K273" s="165"/>
      <c r="L273" s="59">
        <f ca="1">IFERROR(__xludf.DUMMYFUNCTION("IMPORTRANGE(""https://docs.google.com/spreadsheets/d/13wPX838HrBrQMCywv1BsuMkt4PEKTChp52zj44s2izQ/edit?usp=sharing"",""กาญจนบุรี!L273"")+IMPORTRANGE(""https://docs.google.com/spreadsheets/d/1ddFKvqj1W1NEiWytbGlB1zMx_ykJDVtmfEQ-6-lIUBA/edit?usp=sharing"","&amp;"""จันทบุรี!L273"")+IMPORTRANGE(""https://docs.google.com/spreadsheets/d/1T1PQvRODqOBZk8BRht_U031fIS1beLA0Ub2CEytj2q0/edit?usp=sharing"",""ฉะเชิงเทรา!L273"")+IMPORTRANGE(""https://docs.google.com/spreadsheets/d/11tr1B-Bhyr79v2bkwVh5h_fR-PStkgjlZtkrZpYurG0/"&amp;"edit?usp=sharing"",""ชลบุรี!L273"")+IMPORTRANGE(""https://docs.google.com/spreadsheets/d/1hh-FVnSX0vozXhGluamEcS54Dw9_zqW0N7qJUWgJ0Sw/edit?usp=sharing"",""ชัยนาท!L273"")+IMPORTRANGE(""https://docs.google.com/spreadsheets/d/1jkqa6GXxSacMcY1eN8AHjMNJ_7dDXMJ"&amp;"VRLDlaFSOdPM/edit?usp=sharing"",""ตราด!L273"")+IMPORTRANGE(""https://docs.google.com/spreadsheets/d/18hSgUJ3VwClqi_qtULmmW3cLr0oe3OKaSYoKzdpTsYQ/edit?usp=sharing"",""นครนายก!L273"")+IMPORTRANGE(""https://docs.google.com/spreadsheets/d/1YTZo6WM2dQ6Ix6FSdnL"&amp;"5P7uVnVKu40sxZu975tgG10E/edit?usp=sharing"",""นครปฐม!L273"")+IMPORTRANGE(""https://docs.google.com/spreadsheets/d/1OYoGg4WDg5RIzwGeB10padOxJF9E_Vljuvvct_M7RDo/edit?usp=sharing"",""ปทุมธานี!L273"")+IMPORTRANGE(""https://docs.google.com/spreadsheets/d/1GbCI"&amp;"E4D4wk9FUozzqk7SxfDMxDVBwVmI5zcaVUSzKAc/edit?usp=sharing"",""ประจวบคีรีขันธ์!L273"")+IMPORTRANGE(""https://docs.google.com/spreadsheets/d/1vVf6wykvW_lAyu7Yo9L4hUTqHqIeP_qcVuxCtosJEbg/edit?usp=sharing"",""ปราจีนบุรี!L273"")+IMPORTRANGE(""https://docs.googl"&amp;"e.com/spreadsheets/d/1BIDqLLg5jk3v59G8NlR8rk5xfQDKne0sAvZHSj7TI6I/edit?usp=sharing"",""พระนครศรีอยุธยา!L273"")+IMPORTRANGE(""https://docs.google.com/spreadsheets/d/1YXvxf8Yu6_rV4hTBrwMqAcAnv6DfhUxh5emyM3CJp_w/edit?usp=sharing"",""เพชรบุรี!L273"")+IMPORTRA"&amp;"NGE(""https://docs.google.com/spreadsheets/d/19KBlQQs7uwvsao6t2n-KvW3Ax8J8uRRfZPq1zPbXgKc/edit?usp=sharing"",""ระยอง!L273"")+IMPORTRANGE(""https://docs.google.com/spreadsheets/d/1jQ6P4QcrGM89YfqcC_PxOHGCMq5ezhucwJd8ci-NHng/edit?usp=sharing"",""ราชบุรี!L27"&amp;"3"")+IMPORTRANGE(""https://docs.google.com/spreadsheets/d/1lufeA2cfFqM-elVq2hznhDzC6Pr7wkJ9ZG_sYNGCMCU/edit?usp=sharing"",""ลพบุรี!L273"")+IMPORTRANGE(""https://docs.google.com/spreadsheets/d/10oOiF7loTyfsTkbd4MpaIm0HQ9SwB7IYHdIUvt-U1Uc/edit?usp=sharing"""&amp;",""สระแก้ว!L273"")+IMPORTRANGE(""https://docs.google.com/spreadsheets/d/1xmPlrr1QbdSIKvl1dWUl9K4PjAfSL9oeMr_37QVzcxc/edit?usp=sharing"",""สระบุรี!L273"")+IMPORTRANGE(""https://docs.google.com/spreadsheets/d/1j51vR6CYVGhABJpv6tkstgok82RLpXieLzW1yOY5rHw/edi"&amp;"t?usp=sharing"",""สิงห์บุรี!L273"")+IMPORTRANGE(""https://docs.google.com/spreadsheets/d/1H1EalTWKUSzO4Z1-1CwzoDUaVffgrThEBe2sl74kKG0/edit?usp=sharing"",""สุพรรณบุรี!L273"")+IMPORTRANGE(""https://docs.google.com/spreadsheets/d/1BmIruG_sIrJLYao_Pdr7zVArWsf"&amp;"oBt2692TMi6x_854/edit?usp=sharing"",""อ่างทอง!L273"")"),0)</f>
        <v>0</v>
      </c>
      <c r="M273" s="59">
        <f ca="1">IFERROR(__xludf.DUMMYFUNCTION("IMPORTRANGE(""https://docs.google.com/spreadsheets/d/13wPX838HrBrQMCywv1BsuMkt4PEKTChp52zj44s2izQ/edit?usp=sharing"",""กาญจนบุรี!M273"")+IMPORTRANGE(""https://docs.google.com/spreadsheets/d/1ddFKvqj1W1NEiWytbGlB1zMx_ykJDVtmfEQ-6-lIUBA/edit?usp=sharing"","&amp;"""จันทบุรี!M273"")+IMPORTRANGE(""https://docs.google.com/spreadsheets/d/1T1PQvRODqOBZk8BRht_U031fIS1beLA0Ub2CEytj2q0/edit?usp=sharing"",""ฉะเชิงเทรา!M273"")+IMPORTRANGE(""https://docs.google.com/spreadsheets/d/11tr1B-Bhyr79v2bkwVh5h_fR-PStkgjlZtkrZpYurG0/"&amp;"edit?usp=sharing"",""ชลบุรี!M273"")+IMPORTRANGE(""https://docs.google.com/spreadsheets/d/1hh-FVnSX0vozXhGluamEcS54Dw9_zqW0N7qJUWgJ0Sw/edit?usp=sharing"",""ชัยนาท!M273"")+IMPORTRANGE(""https://docs.google.com/spreadsheets/d/1jkqa6GXxSacMcY1eN8AHjMNJ_7dDXMJ"&amp;"VRLDlaFSOdPM/edit?usp=sharing"",""ตราด!M273"")+IMPORTRANGE(""https://docs.google.com/spreadsheets/d/18hSgUJ3VwClqi_qtULmmW3cLr0oe3OKaSYoKzdpTsYQ/edit?usp=sharing"",""นครนายก!M273"")+IMPORTRANGE(""https://docs.google.com/spreadsheets/d/1YTZo6WM2dQ6Ix6FSdnL"&amp;"5P7uVnVKu40sxZu975tgG10E/edit?usp=sharing"",""นครปฐม!M273"")+IMPORTRANGE(""https://docs.google.com/spreadsheets/d/1OYoGg4WDg5RIzwGeB10padOxJF9E_Vljuvvct_M7RDo/edit?usp=sharing"",""ปทุมธานี!M273"")+IMPORTRANGE(""https://docs.google.com/spreadsheets/d/1GbCI"&amp;"E4D4wk9FUozzqk7SxfDMxDVBwVmI5zcaVUSzKAc/edit?usp=sharing"",""ประจวบคีรีขันธ์!M273"")+IMPORTRANGE(""https://docs.google.com/spreadsheets/d/1vVf6wykvW_lAyu7Yo9L4hUTqHqIeP_qcVuxCtosJEbg/edit?usp=sharing"",""ปราจีนบุรี!M273"")+IMPORTRANGE(""https://docs.googl"&amp;"e.com/spreadsheets/d/1BIDqLLg5jk3v59G8NlR8rk5xfQDKne0sAvZHSj7TI6I/edit?usp=sharing"",""พระนครศรีอยุธยา!M273"")+IMPORTRANGE(""https://docs.google.com/spreadsheets/d/1YXvxf8Yu6_rV4hTBrwMqAcAnv6DfhUxh5emyM3CJp_w/edit?usp=sharing"",""เพชรบุรี!M273"")+IMPORTRA"&amp;"NGE(""https://docs.google.com/spreadsheets/d/19KBlQQs7uwvsao6t2n-KvW3Ax8J8uRRfZPq1zPbXgKc/edit?usp=sharing"",""ระยอง!M273"")+IMPORTRANGE(""https://docs.google.com/spreadsheets/d/1jQ6P4QcrGM89YfqcC_PxOHGCMq5ezhucwJd8ci-NHng/edit?usp=sharing"",""ราชบุรี!M27"&amp;"3"")+IMPORTRANGE(""https://docs.google.com/spreadsheets/d/1lufeA2cfFqM-elVq2hznhDzC6Pr7wkJ9ZG_sYNGCMCU/edit?usp=sharing"",""ลพบุรี!M273"")+IMPORTRANGE(""https://docs.google.com/spreadsheets/d/10oOiF7loTyfsTkbd4MpaIm0HQ9SwB7IYHdIUvt-U1Uc/edit?usp=sharing"""&amp;",""สระแก้ว!M273"")+IMPORTRANGE(""https://docs.google.com/spreadsheets/d/1xmPlrr1QbdSIKvl1dWUl9K4PjAfSL9oeMr_37QVzcxc/edit?usp=sharing"",""สระบุรี!M273"")+IMPORTRANGE(""https://docs.google.com/spreadsheets/d/1j51vR6CYVGhABJpv6tkstgok82RLpXieLzW1yOY5rHw/edi"&amp;"t?usp=sharing"",""สิงห์บุรี!M273"")+IMPORTRANGE(""https://docs.google.com/spreadsheets/d/1H1EalTWKUSzO4Z1-1CwzoDUaVffgrThEBe2sl74kKG0/edit?usp=sharing"",""สุพรรณบุรี!M273"")+IMPORTRANGE(""https://docs.google.com/spreadsheets/d/1BmIruG_sIrJLYao_Pdr7zVArWsf"&amp;"oBt2692TMi6x_854/edit?usp=sharing"",""อ่างทอง!M273"")"),0)</f>
        <v>0</v>
      </c>
      <c r="N273" s="59">
        <f ca="1">IFERROR(__xludf.DUMMYFUNCTION("IMPORTRANGE(""https://docs.google.com/spreadsheets/d/13wPX838HrBrQMCywv1BsuMkt4PEKTChp52zj44s2izQ/edit?usp=sharing"",""กาญจนบุรี!N273"")+IMPORTRANGE(""https://docs.google.com/spreadsheets/d/1ddFKvqj1W1NEiWytbGlB1zMx_ykJDVtmfEQ-6-lIUBA/edit?usp=sharing"","&amp;"""จันทบุรี!N273"")+IMPORTRANGE(""https://docs.google.com/spreadsheets/d/1T1PQvRODqOBZk8BRht_U031fIS1beLA0Ub2CEytj2q0/edit?usp=sharing"",""ฉะเชิงเทรา!N273"")+IMPORTRANGE(""https://docs.google.com/spreadsheets/d/11tr1B-Bhyr79v2bkwVh5h_fR-PStkgjlZtkrZpYurG0/"&amp;"edit?usp=sharing"",""ชลบุรี!N273"")+IMPORTRANGE(""https://docs.google.com/spreadsheets/d/1hh-FVnSX0vozXhGluamEcS54Dw9_zqW0N7qJUWgJ0Sw/edit?usp=sharing"",""ชัยนาท!N273"")+IMPORTRANGE(""https://docs.google.com/spreadsheets/d/1jkqa6GXxSacMcY1eN8AHjMNJ_7dDXMJ"&amp;"VRLDlaFSOdPM/edit?usp=sharing"",""ตราด!N273"")+IMPORTRANGE(""https://docs.google.com/spreadsheets/d/18hSgUJ3VwClqi_qtULmmW3cLr0oe3OKaSYoKzdpTsYQ/edit?usp=sharing"",""นครนายก!N273"")+IMPORTRANGE(""https://docs.google.com/spreadsheets/d/1YTZo6WM2dQ6Ix6FSdnL"&amp;"5P7uVnVKu40sxZu975tgG10E/edit?usp=sharing"",""นครปฐม!N273"")+IMPORTRANGE(""https://docs.google.com/spreadsheets/d/1OYoGg4WDg5RIzwGeB10padOxJF9E_Vljuvvct_M7RDo/edit?usp=sharing"",""ปทุมธานี!N273"")+IMPORTRANGE(""https://docs.google.com/spreadsheets/d/1GbCI"&amp;"E4D4wk9FUozzqk7SxfDMxDVBwVmI5zcaVUSzKAc/edit?usp=sharing"",""ประจวบคีรีขันธ์!N273"")+IMPORTRANGE(""https://docs.google.com/spreadsheets/d/1vVf6wykvW_lAyu7Yo9L4hUTqHqIeP_qcVuxCtosJEbg/edit?usp=sharing"",""ปราจีนบุรี!N273"")+IMPORTRANGE(""https://docs.googl"&amp;"e.com/spreadsheets/d/1BIDqLLg5jk3v59G8NlR8rk5xfQDKne0sAvZHSj7TI6I/edit?usp=sharing"",""พระนครศรีอยุธยา!N273"")+IMPORTRANGE(""https://docs.google.com/spreadsheets/d/1YXvxf8Yu6_rV4hTBrwMqAcAnv6DfhUxh5emyM3CJp_w/edit?usp=sharing"",""เพชรบุรี!N273"")+IMPORTRA"&amp;"NGE(""https://docs.google.com/spreadsheets/d/19KBlQQs7uwvsao6t2n-KvW3Ax8J8uRRfZPq1zPbXgKc/edit?usp=sharing"",""ระยอง!N273"")+IMPORTRANGE(""https://docs.google.com/spreadsheets/d/1jQ6P4QcrGM89YfqcC_PxOHGCMq5ezhucwJd8ci-NHng/edit?usp=sharing"",""ราชบุรี!N27"&amp;"3"")+IMPORTRANGE(""https://docs.google.com/spreadsheets/d/1lufeA2cfFqM-elVq2hznhDzC6Pr7wkJ9ZG_sYNGCMCU/edit?usp=sharing"",""ลพบุรี!N273"")+IMPORTRANGE(""https://docs.google.com/spreadsheets/d/10oOiF7loTyfsTkbd4MpaIm0HQ9SwB7IYHdIUvt-U1Uc/edit?usp=sharing"""&amp;",""สระแก้ว!N273"")+IMPORTRANGE(""https://docs.google.com/spreadsheets/d/1xmPlrr1QbdSIKvl1dWUl9K4PjAfSL9oeMr_37QVzcxc/edit?usp=sharing"",""สระบุรี!N273"")+IMPORTRANGE(""https://docs.google.com/spreadsheets/d/1j51vR6CYVGhABJpv6tkstgok82RLpXieLzW1yOY5rHw/edi"&amp;"t?usp=sharing"",""สิงห์บุรี!N273"")+IMPORTRANGE(""https://docs.google.com/spreadsheets/d/1H1EalTWKUSzO4Z1-1CwzoDUaVffgrThEBe2sl74kKG0/edit?usp=sharing"",""สุพรรณบุรี!N273"")+IMPORTRANGE(""https://docs.google.com/spreadsheets/d/1BmIruG_sIrJLYao_Pdr7zVArWsf"&amp;"oBt2692TMi6x_854/edit?usp=sharing"",""อ่างทอง!N273"")"),0)</f>
        <v>0</v>
      </c>
      <c r="O273" s="59">
        <f t="shared" ca="1" si="109"/>
        <v>0</v>
      </c>
      <c r="P273" s="59">
        <f t="shared" ca="1" si="110"/>
        <v>0</v>
      </c>
    </row>
    <row r="274" spans="1:16" ht="18.75" x14ac:dyDescent="0.25">
      <c r="A274" s="157"/>
      <c r="B274" s="53"/>
      <c r="C274" s="53"/>
      <c r="D274" s="53"/>
      <c r="E274" s="60" t="s">
        <v>19</v>
      </c>
      <c r="F274" s="53"/>
      <c r="G274" s="55"/>
      <c r="H274" s="166" t="s">
        <v>12</v>
      </c>
      <c r="I274" s="164"/>
      <c r="J274" s="164"/>
      <c r="K274" s="165"/>
      <c r="L274" s="59">
        <f ca="1">IFERROR(__xludf.DUMMYFUNCTION("IMPORTRANGE(""https://docs.google.com/spreadsheets/d/13wPX838HrBrQMCywv1BsuMkt4PEKTChp52zj44s2izQ/edit?usp=sharing"",""กาญจนบุรี!L274"")+IMPORTRANGE(""https://docs.google.com/spreadsheets/d/1ddFKvqj1W1NEiWytbGlB1zMx_ykJDVtmfEQ-6-lIUBA/edit?usp=sharing"","&amp;"""จันทบุรี!L274"")+IMPORTRANGE(""https://docs.google.com/spreadsheets/d/1T1PQvRODqOBZk8BRht_U031fIS1beLA0Ub2CEytj2q0/edit?usp=sharing"",""ฉะเชิงเทรา!L274"")+IMPORTRANGE(""https://docs.google.com/spreadsheets/d/11tr1B-Bhyr79v2bkwVh5h_fR-PStkgjlZtkrZpYurG0/"&amp;"edit?usp=sharing"",""ชลบุรี!L274"")+IMPORTRANGE(""https://docs.google.com/spreadsheets/d/1hh-FVnSX0vozXhGluamEcS54Dw9_zqW0N7qJUWgJ0Sw/edit?usp=sharing"",""ชัยนาท!L274"")+IMPORTRANGE(""https://docs.google.com/spreadsheets/d/1jkqa6GXxSacMcY1eN8AHjMNJ_7dDXMJ"&amp;"VRLDlaFSOdPM/edit?usp=sharing"",""ตราด!L274"")+IMPORTRANGE(""https://docs.google.com/spreadsheets/d/18hSgUJ3VwClqi_qtULmmW3cLr0oe3OKaSYoKzdpTsYQ/edit?usp=sharing"",""นครนายก!L274"")+IMPORTRANGE(""https://docs.google.com/spreadsheets/d/1YTZo6WM2dQ6Ix6FSdnL"&amp;"5P7uVnVKu40sxZu975tgG10E/edit?usp=sharing"",""นครปฐม!L274"")+IMPORTRANGE(""https://docs.google.com/spreadsheets/d/1OYoGg4WDg5RIzwGeB10padOxJF9E_Vljuvvct_M7RDo/edit?usp=sharing"",""ปทุมธานี!L274"")+IMPORTRANGE(""https://docs.google.com/spreadsheets/d/1GbCI"&amp;"E4D4wk9FUozzqk7SxfDMxDVBwVmI5zcaVUSzKAc/edit?usp=sharing"",""ประจวบคีรีขันธ์!L274"")+IMPORTRANGE(""https://docs.google.com/spreadsheets/d/1vVf6wykvW_lAyu7Yo9L4hUTqHqIeP_qcVuxCtosJEbg/edit?usp=sharing"",""ปราจีนบุรี!L274"")+IMPORTRANGE(""https://docs.googl"&amp;"e.com/spreadsheets/d/1BIDqLLg5jk3v59G8NlR8rk5xfQDKne0sAvZHSj7TI6I/edit?usp=sharing"",""พระนครศรีอยุธยา!L274"")+IMPORTRANGE(""https://docs.google.com/spreadsheets/d/1YXvxf8Yu6_rV4hTBrwMqAcAnv6DfhUxh5emyM3CJp_w/edit?usp=sharing"",""เพชรบุรี!L274"")+IMPORTRA"&amp;"NGE(""https://docs.google.com/spreadsheets/d/19KBlQQs7uwvsao6t2n-KvW3Ax8J8uRRfZPq1zPbXgKc/edit?usp=sharing"",""ระยอง!L274"")+IMPORTRANGE(""https://docs.google.com/spreadsheets/d/1jQ6P4QcrGM89YfqcC_PxOHGCMq5ezhucwJd8ci-NHng/edit?usp=sharing"",""ราชบุรี!L27"&amp;"4"")+IMPORTRANGE(""https://docs.google.com/spreadsheets/d/1lufeA2cfFqM-elVq2hznhDzC6Pr7wkJ9ZG_sYNGCMCU/edit?usp=sharing"",""ลพบุรี!L274"")+IMPORTRANGE(""https://docs.google.com/spreadsheets/d/10oOiF7loTyfsTkbd4MpaIm0HQ9SwB7IYHdIUvt-U1Uc/edit?usp=sharing"""&amp;",""สระแก้ว!L274"")+IMPORTRANGE(""https://docs.google.com/spreadsheets/d/1xmPlrr1QbdSIKvl1dWUl9K4PjAfSL9oeMr_37QVzcxc/edit?usp=sharing"",""สระบุรี!L274"")+IMPORTRANGE(""https://docs.google.com/spreadsheets/d/1j51vR6CYVGhABJpv6tkstgok82RLpXieLzW1yOY5rHw/edi"&amp;"t?usp=sharing"",""สิงห์บุรี!L274"")+IMPORTRANGE(""https://docs.google.com/spreadsheets/d/1H1EalTWKUSzO4Z1-1CwzoDUaVffgrThEBe2sl74kKG0/edit?usp=sharing"",""สุพรรณบุรี!L274"")+IMPORTRANGE(""https://docs.google.com/spreadsheets/d/1BmIruG_sIrJLYao_Pdr7zVArWsf"&amp;"oBt2692TMi6x_854/edit?usp=sharing"",""อ่างทอง!L274"")"),0)</f>
        <v>0</v>
      </c>
      <c r="M274" s="59">
        <f ca="1">IFERROR(__xludf.DUMMYFUNCTION("IMPORTRANGE(""https://docs.google.com/spreadsheets/d/13wPX838HrBrQMCywv1BsuMkt4PEKTChp52zj44s2izQ/edit?usp=sharing"",""กาญจนบุรี!M274"")+IMPORTRANGE(""https://docs.google.com/spreadsheets/d/1ddFKvqj1W1NEiWytbGlB1zMx_ykJDVtmfEQ-6-lIUBA/edit?usp=sharing"","&amp;"""จันทบุรี!M274"")+IMPORTRANGE(""https://docs.google.com/spreadsheets/d/1T1PQvRODqOBZk8BRht_U031fIS1beLA0Ub2CEytj2q0/edit?usp=sharing"",""ฉะเชิงเทรา!M274"")+IMPORTRANGE(""https://docs.google.com/spreadsheets/d/11tr1B-Bhyr79v2bkwVh5h_fR-PStkgjlZtkrZpYurG0/"&amp;"edit?usp=sharing"",""ชลบุรี!M274"")+IMPORTRANGE(""https://docs.google.com/spreadsheets/d/1hh-FVnSX0vozXhGluamEcS54Dw9_zqW0N7qJUWgJ0Sw/edit?usp=sharing"",""ชัยนาท!M274"")+IMPORTRANGE(""https://docs.google.com/spreadsheets/d/1jkqa6GXxSacMcY1eN8AHjMNJ_7dDXMJ"&amp;"VRLDlaFSOdPM/edit?usp=sharing"",""ตราด!M274"")+IMPORTRANGE(""https://docs.google.com/spreadsheets/d/18hSgUJ3VwClqi_qtULmmW3cLr0oe3OKaSYoKzdpTsYQ/edit?usp=sharing"",""นครนายก!M274"")+IMPORTRANGE(""https://docs.google.com/spreadsheets/d/1YTZo6WM2dQ6Ix6FSdnL"&amp;"5P7uVnVKu40sxZu975tgG10E/edit?usp=sharing"",""นครปฐม!M274"")+IMPORTRANGE(""https://docs.google.com/spreadsheets/d/1OYoGg4WDg5RIzwGeB10padOxJF9E_Vljuvvct_M7RDo/edit?usp=sharing"",""ปทุมธานี!M274"")+IMPORTRANGE(""https://docs.google.com/spreadsheets/d/1GbCI"&amp;"E4D4wk9FUozzqk7SxfDMxDVBwVmI5zcaVUSzKAc/edit?usp=sharing"",""ประจวบคีรีขันธ์!M274"")+IMPORTRANGE(""https://docs.google.com/spreadsheets/d/1vVf6wykvW_lAyu7Yo9L4hUTqHqIeP_qcVuxCtosJEbg/edit?usp=sharing"",""ปราจีนบุรี!M274"")+IMPORTRANGE(""https://docs.googl"&amp;"e.com/spreadsheets/d/1BIDqLLg5jk3v59G8NlR8rk5xfQDKne0sAvZHSj7TI6I/edit?usp=sharing"",""พระนครศรีอยุธยา!M274"")+IMPORTRANGE(""https://docs.google.com/spreadsheets/d/1YXvxf8Yu6_rV4hTBrwMqAcAnv6DfhUxh5emyM3CJp_w/edit?usp=sharing"",""เพชรบุรี!M274"")+IMPORTRA"&amp;"NGE(""https://docs.google.com/spreadsheets/d/19KBlQQs7uwvsao6t2n-KvW3Ax8J8uRRfZPq1zPbXgKc/edit?usp=sharing"",""ระยอง!M274"")+IMPORTRANGE(""https://docs.google.com/spreadsheets/d/1jQ6P4QcrGM89YfqcC_PxOHGCMq5ezhucwJd8ci-NHng/edit?usp=sharing"",""ราชบุรี!M27"&amp;"4"")+IMPORTRANGE(""https://docs.google.com/spreadsheets/d/1lufeA2cfFqM-elVq2hznhDzC6Pr7wkJ9ZG_sYNGCMCU/edit?usp=sharing"",""ลพบุรี!M274"")+IMPORTRANGE(""https://docs.google.com/spreadsheets/d/10oOiF7loTyfsTkbd4MpaIm0HQ9SwB7IYHdIUvt-U1Uc/edit?usp=sharing"""&amp;",""สระแก้ว!M274"")+IMPORTRANGE(""https://docs.google.com/spreadsheets/d/1xmPlrr1QbdSIKvl1dWUl9K4PjAfSL9oeMr_37QVzcxc/edit?usp=sharing"",""สระบุรี!M274"")+IMPORTRANGE(""https://docs.google.com/spreadsheets/d/1j51vR6CYVGhABJpv6tkstgok82RLpXieLzW1yOY5rHw/edi"&amp;"t?usp=sharing"",""สิงห์บุรี!M274"")+IMPORTRANGE(""https://docs.google.com/spreadsheets/d/1H1EalTWKUSzO4Z1-1CwzoDUaVffgrThEBe2sl74kKG0/edit?usp=sharing"",""สุพรรณบุรี!M274"")+IMPORTRANGE(""https://docs.google.com/spreadsheets/d/1BmIruG_sIrJLYao_Pdr7zVArWsf"&amp;"oBt2692TMi6x_854/edit?usp=sharing"",""อ่างทอง!M274"")"),0)</f>
        <v>0</v>
      </c>
      <c r="N274" s="59">
        <f ca="1">IFERROR(__xludf.DUMMYFUNCTION("IMPORTRANGE(""https://docs.google.com/spreadsheets/d/13wPX838HrBrQMCywv1BsuMkt4PEKTChp52zj44s2izQ/edit?usp=sharing"",""กาญจนบุรี!N274"")+IMPORTRANGE(""https://docs.google.com/spreadsheets/d/1ddFKvqj1W1NEiWytbGlB1zMx_ykJDVtmfEQ-6-lIUBA/edit?usp=sharing"","&amp;"""จันทบุรี!N274"")+IMPORTRANGE(""https://docs.google.com/spreadsheets/d/1T1PQvRODqOBZk8BRht_U031fIS1beLA0Ub2CEytj2q0/edit?usp=sharing"",""ฉะเชิงเทรา!N274"")+IMPORTRANGE(""https://docs.google.com/spreadsheets/d/11tr1B-Bhyr79v2bkwVh5h_fR-PStkgjlZtkrZpYurG0/"&amp;"edit?usp=sharing"",""ชลบุรี!N274"")+IMPORTRANGE(""https://docs.google.com/spreadsheets/d/1hh-FVnSX0vozXhGluamEcS54Dw9_zqW0N7qJUWgJ0Sw/edit?usp=sharing"",""ชัยนาท!N274"")+IMPORTRANGE(""https://docs.google.com/spreadsheets/d/1jkqa6GXxSacMcY1eN8AHjMNJ_7dDXMJ"&amp;"VRLDlaFSOdPM/edit?usp=sharing"",""ตราด!N274"")+IMPORTRANGE(""https://docs.google.com/spreadsheets/d/18hSgUJ3VwClqi_qtULmmW3cLr0oe3OKaSYoKzdpTsYQ/edit?usp=sharing"",""นครนายก!N274"")+IMPORTRANGE(""https://docs.google.com/spreadsheets/d/1YTZo6WM2dQ6Ix6FSdnL"&amp;"5P7uVnVKu40sxZu975tgG10E/edit?usp=sharing"",""นครปฐม!N274"")+IMPORTRANGE(""https://docs.google.com/spreadsheets/d/1OYoGg4WDg5RIzwGeB10padOxJF9E_Vljuvvct_M7RDo/edit?usp=sharing"",""ปทุมธานี!N274"")+IMPORTRANGE(""https://docs.google.com/spreadsheets/d/1GbCI"&amp;"E4D4wk9FUozzqk7SxfDMxDVBwVmI5zcaVUSzKAc/edit?usp=sharing"",""ประจวบคีรีขันธ์!N274"")+IMPORTRANGE(""https://docs.google.com/spreadsheets/d/1vVf6wykvW_lAyu7Yo9L4hUTqHqIeP_qcVuxCtosJEbg/edit?usp=sharing"",""ปราจีนบุรี!N274"")+IMPORTRANGE(""https://docs.googl"&amp;"e.com/spreadsheets/d/1BIDqLLg5jk3v59G8NlR8rk5xfQDKne0sAvZHSj7TI6I/edit?usp=sharing"",""พระนครศรีอยุธยา!N274"")+IMPORTRANGE(""https://docs.google.com/spreadsheets/d/1YXvxf8Yu6_rV4hTBrwMqAcAnv6DfhUxh5emyM3CJp_w/edit?usp=sharing"",""เพชรบุรี!N274"")+IMPORTRA"&amp;"NGE(""https://docs.google.com/spreadsheets/d/19KBlQQs7uwvsao6t2n-KvW3Ax8J8uRRfZPq1zPbXgKc/edit?usp=sharing"",""ระยอง!N274"")+IMPORTRANGE(""https://docs.google.com/spreadsheets/d/1jQ6P4QcrGM89YfqcC_PxOHGCMq5ezhucwJd8ci-NHng/edit?usp=sharing"",""ราชบุรี!N27"&amp;"4"")+IMPORTRANGE(""https://docs.google.com/spreadsheets/d/1lufeA2cfFqM-elVq2hznhDzC6Pr7wkJ9ZG_sYNGCMCU/edit?usp=sharing"",""ลพบุรี!N274"")+IMPORTRANGE(""https://docs.google.com/spreadsheets/d/10oOiF7loTyfsTkbd4MpaIm0HQ9SwB7IYHdIUvt-U1Uc/edit?usp=sharing"""&amp;",""สระแก้ว!N274"")+IMPORTRANGE(""https://docs.google.com/spreadsheets/d/1xmPlrr1QbdSIKvl1dWUl9K4PjAfSL9oeMr_37QVzcxc/edit?usp=sharing"",""สระบุรี!N274"")+IMPORTRANGE(""https://docs.google.com/spreadsheets/d/1j51vR6CYVGhABJpv6tkstgok82RLpXieLzW1yOY5rHw/edi"&amp;"t?usp=sharing"",""สิงห์บุรี!N274"")+IMPORTRANGE(""https://docs.google.com/spreadsheets/d/1H1EalTWKUSzO4Z1-1CwzoDUaVffgrThEBe2sl74kKG0/edit?usp=sharing"",""สุพรรณบุรี!N274"")+IMPORTRANGE(""https://docs.google.com/spreadsheets/d/1BmIruG_sIrJLYao_Pdr7zVArWsf"&amp;"oBt2692TMi6x_854/edit?usp=sharing"",""อ่างทอง!N274"")"),0)</f>
        <v>0</v>
      </c>
      <c r="O274" s="59">
        <f t="shared" ca="1" si="109"/>
        <v>0</v>
      </c>
      <c r="P274" s="59">
        <f t="shared" ca="1" si="110"/>
        <v>0</v>
      </c>
    </row>
    <row r="275" spans="1:16" ht="19.5" x14ac:dyDescent="0.3">
      <c r="A275" s="167"/>
      <c r="B275" s="168"/>
      <c r="C275" s="336" t="s">
        <v>16</v>
      </c>
      <c r="D275" s="169" t="s">
        <v>36</v>
      </c>
      <c r="E275" s="170"/>
      <c r="F275" s="170"/>
      <c r="G275" s="171"/>
      <c r="H275" s="172"/>
      <c r="I275" s="164"/>
      <c r="J275" s="164"/>
      <c r="K275" s="165"/>
      <c r="L275" s="165"/>
      <c r="M275" s="165"/>
      <c r="N275" s="165"/>
      <c r="O275" s="165"/>
      <c r="P275" s="165"/>
    </row>
    <row r="276" spans="1:16" ht="18.75" hidden="1" x14ac:dyDescent="0.25">
      <c r="A276" s="337"/>
      <c r="B276" s="213"/>
      <c r="C276" s="213"/>
      <c r="D276" s="338"/>
      <c r="E276" s="17"/>
      <c r="F276" s="17"/>
      <c r="G276" s="20"/>
      <c r="H276" s="26"/>
      <c r="I276" s="214"/>
      <c r="J276" s="339"/>
      <c r="K276" s="27"/>
      <c r="L276" s="23"/>
      <c r="M276" s="23"/>
      <c r="N276" s="23"/>
      <c r="O276" s="23"/>
      <c r="P276" s="23"/>
    </row>
    <row r="277" spans="1:16" ht="18.75" x14ac:dyDescent="0.25">
      <c r="A277" s="340"/>
      <c r="B277" s="341"/>
      <c r="C277" s="341"/>
      <c r="D277" s="342" t="s">
        <v>109</v>
      </c>
      <c r="E277" s="343"/>
      <c r="F277" s="343"/>
      <c r="G277" s="344"/>
      <c r="H277" s="136" t="s">
        <v>33</v>
      </c>
      <c r="I277" s="345">
        <v>0</v>
      </c>
      <c r="J277" s="345">
        <v>0</v>
      </c>
      <c r="K277" s="346">
        <v>0</v>
      </c>
      <c r="L277" s="347"/>
      <c r="M277" s="347"/>
      <c r="N277" s="347"/>
      <c r="O277" s="347"/>
      <c r="P277" s="347"/>
    </row>
    <row r="278" spans="1:16" ht="19.5" x14ac:dyDescent="0.3">
      <c r="A278" s="348" t="s">
        <v>110</v>
      </c>
      <c r="B278" s="349"/>
      <c r="C278" s="349"/>
      <c r="D278" s="349"/>
      <c r="E278" s="350"/>
      <c r="F278" s="350"/>
      <c r="G278" s="350"/>
      <c r="H278" s="350"/>
      <c r="I278" s="351"/>
      <c r="J278" s="351"/>
      <c r="K278" s="352"/>
      <c r="L278" s="353"/>
      <c r="M278" s="353"/>
      <c r="N278" s="353"/>
      <c r="O278" s="353"/>
      <c r="P278" s="354"/>
    </row>
    <row r="279" spans="1:16" ht="19.5" x14ac:dyDescent="0.3">
      <c r="A279" s="355" t="s">
        <v>111</v>
      </c>
      <c r="B279" s="356"/>
      <c r="C279" s="357"/>
      <c r="D279" s="356"/>
      <c r="E279" s="356"/>
      <c r="F279" s="356"/>
      <c r="G279" s="356"/>
      <c r="H279" s="356"/>
      <c r="I279" s="358"/>
      <c r="J279" s="359"/>
      <c r="K279" s="360"/>
      <c r="L279" s="360"/>
      <c r="M279" s="360"/>
      <c r="N279" s="360"/>
      <c r="O279" s="360"/>
      <c r="P279" s="360"/>
    </row>
    <row r="280" spans="1:16" ht="19.5" x14ac:dyDescent="0.3">
      <c r="A280" s="361"/>
      <c r="B280" s="362" t="s">
        <v>112</v>
      </c>
      <c r="C280" s="363"/>
      <c r="D280" s="364"/>
      <c r="E280" s="363"/>
      <c r="F280" s="363"/>
      <c r="G280" s="365"/>
      <c r="H280" s="366" t="s">
        <v>33</v>
      </c>
      <c r="I280" s="367">
        <f t="shared" ref="I280:J280" ca="1" si="115">I293</f>
        <v>10</v>
      </c>
      <c r="J280" s="367">
        <f t="shared" ca="1" si="115"/>
        <v>0</v>
      </c>
      <c r="K280" s="368">
        <f t="shared" ref="K280:K281" ca="1" si="116">IF(I280&gt;0,J280*100/I280,0)</f>
        <v>0</v>
      </c>
      <c r="L280" s="369"/>
      <c r="M280" s="369"/>
      <c r="N280" s="369"/>
      <c r="O280" s="369"/>
      <c r="P280" s="369"/>
    </row>
    <row r="281" spans="1:16" ht="19.5" x14ac:dyDescent="0.3">
      <c r="A281" s="361"/>
      <c r="B281" s="363"/>
      <c r="C281" s="363"/>
      <c r="D281" s="364"/>
      <c r="E281" s="363"/>
      <c r="F281" s="363"/>
      <c r="G281" s="365"/>
      <c r="H281" s="366" t="s">
        <v>44</v>
      </c>
      <c r="I281" s="367">
        <f t="shared" ref="I281:J281" ca="1" si="117">I292</f>
        <v>100</v>
      </c>
      <c r="J281" s="367">
        <f t="shared" ca="1" si="117"/>
        <v>0</v>
      </c>
      <c r="K281" s="368">
        <f t="shared" ca="1" si="116"/>
        <v>0</v>
      </c>
      <c r="L281" s="369"/>
      <c r="M281" s="369"/>
      <c r="N281" s="369"/>
      <c r="O281" s="369"/>
      <c r="P281" s="369"/>
    </row>
    <row r="282" spans="1:16" ht="19.5" x14ac:dyDescent="0.3">
      <c r="A282" s="157"/>
      <c r="B282" s="53"/>
      <c r="C282" s="158" t="s">
        <v>16</v>
      </c>
      <c r="D282" s="159" t="s">
        <v>17</v>
      </c>
      <c r="E282" s="53"/>
      <c r="F282" s="53"/>
      <c r="G282" s="55"/>
      <c r="H282" s="160" t="s">
        <v>12</v>
      </c>
      <c r="I282" s="57"/>
      <c r="J282" s="57"/>
      <c r="K282" s="58"/>
      <c r="L282" s="161">
        <f t="shared" ref="L282:N282" ca="1" si="118">L283+L284</f>
        <v>137720</v>
      </c>
      <c r="M282" s="161">
        <f t="shared" ca="1" si="118"/>
        <v>102980</v>
      </c>
      <c r="N282" s="161">
        <f t="shared" ca="1" si="118"/>
        <v>33500</v>
      </c>
      <c r="O282" s="161">
        <f t="shared" ref="O282:O290" ca="1" si="119">IF(L282&gt;0,N282*100/L282,0)</f>
        <v>24.324716816729595</v>
      </c>
      <c r="P282" s="161">
        <f t="shared" ref="P282:P290" ca="1" si="120">IF(M282&gt;0,N282*100/M282,0)</f>
        <v>32.530588463779374</v>
      </c>
    </row>
    <row r="283" spans="1:16" ht="18.75" x14ac:dyDescent="0.25">
      <c r="A283" s="157"/>
      <c r="B283" s="53"/>
      <c r="C283" s="53"/>
      <c r="D283" s="53"/>
      <c r="E283" s="60" t="s">
        <v>18</v>
      </c>
      <c r="F283" s="53"/>
      <c r="G283" s="55"/>
      <c r="H283" s="162" t="s">
        <v>12</v>
      </c>
      <c r="I283" s="57"/>
      <c r="J283" s="57"/>
      <c r="K283" s="58"/>
      <c r="L283" s="59">
        <f t="shared" ref="L283:N283" ca="1" si="121">L286+L289</f>
        <v>0</v>
      </c>
      <c r="M283" s="59">
        <f t="shared" ca="1" si="121"/>
        <v>0</v>
      </c>
      <c r="N283" s="59">
        <f t="shared" ca="1" si="121"/>
        <v>0</v>
      </c>
      <c r="O283" s="59">
        <f t="shared" ca="1" si="119"/>
        <v>0</v>
      </c>
      <c r="P283" s="59">
        <f t="shared" ca="1" si="120"/>
        <v>0</v>
      </c>
    </row>
    <row r="284" spans="1:16" ht="18.75" x14ac:dyDescent="0.25">
      <c r="A284" s="157"/>
      <c r="B284" s="53"/>
      <c r="C284" s="53"/>
      <c r="D284" s="53"/>
      <c r="E284" s="60" t="s">
        <v>19</v>
      </c>
      <c r="F284" s="53"/>
      <c r="G284" s="55"/>
      <c r="H284" s="162" t="s">
        <v>12</v>
      </c>
      <c r="I284" s="57"/>
      <c r="J284" s="57"/>
      <c r="K284" s="58"/>
      <c r="L284" s="59">
        <f t="shared" ref="L284:N284" ca="1" si="122">L287+L290</f>
        <v>137720</v>
      </c>
      <c r="M284" s="59">
        <f t="shared" ca="1" si="122"/>
        <v>102980</v>
      </c>
      <c r="N284" s="59">
        <f t="shared" ca="1" si="122"/>
        <v>33500</v>
      </c>
      <c r="O284" s="59">
        <f t="shared" ca="1" si="119"/>
        <v>24.324716816729595</v>
      </c>
      <c r="P284" s="59">
        <f t="shared" ca="1" si="120"/>
        <v>32.530588463779374</v>
      </c>
    </row>
    <row r="285" spans="1:16" ht="18.75" x14ac:dyDescent="0.25">
      <c r="A285" s="157"/>
      <c r="B285" s="53"/>
      <c r="C285" s="53"/>
      <c r="D285" s="54" t="s">
        <v>20</v>
      </c>
      <c r="E285" s="53"/>
      <c r="F285" s="53"/>
      <c r="G285" s="55"/>
      <c r="H285" s="163" t="s">
        <v>12</v>
      </c>
      <c r="I285" s="164"/>
      <c r="J285" s="164"/>
      <c r="K285" s="165"/>
      <c r="L285" s="59">
        <f t="shared" ref="L285:N285" ca="1" si="123">L286+L287</f>
        <v>137720</v>
      </c>
      <c r="M285" s="59">
        <f t="shared" ca="1" si="123"/>
        <v>102980</v>
      </c>
      <c r="N285" s="59">
        <f t="shared" ca="1" si="123"/>
        <v>33500</v>
      </c>
      <c r="O285" s="59">
        <f t="shared" ca="1" si="119"/>
        <v>24.324716816729595</v>
      </c>
      <c r="P285" s="59">
        <f t="shared" ca="1" si="120"/>
        <v>32.530588463779374</v>
      </c>
    </row>
    <row r="286" spans="1:16" ht="18.75" x14ac:dyDescent="0.25">
      <c r="A286" s="157"/>
      <c r="B286" s="53"/>
      <c r="C286" s="53"/>
      <c r="D286" s="53"/>
      <c r="E286" s="60" t="s">
        <v>34</v>
      </c>
      <c r="F286" s="53"/>
      <c r="G286" s="55"/>
      <c r="H286" s="163" t="s">
        <v>12</v>
      </c>
      <c r="I286" s="164"/>
      <c r="J286" s="164"/>
      <c r="K286" s="165"/>
      <c r="L286" s="59">
        <f ca="1">IFERROR(__xludf.DUMMYFUNCTION("IMPORTRANGE(""https://docs.google.com/spreadsheets/d/13wPX838HrBrQMCywv1BsuMkt4PEKTChp52zj44s2izQ/edit?usp=sharing"",""กาญจนบุรี!L286"")+IMPORTRANGE(""https://docs.google.com/spreadsheets/d/1ddFKvqj1W1NEiWytbGlB1zMx_ykJDVtmfEQ-6-lIUBA/edit?usp=sharing"","&amp;"""จันทบุรี!L286"")+IMPORTRANGE(""https://docs.google.com/spreadsheets/d/1T1PQvRODqOBZk8BRht_U031fIS1beLA0Ub2CEytj2q0/edit?usp=sharing"",""ฉะเชิงเทรา!L286"")+IMPORTRANGE(""https://docs.google.com/spreadsheets/d/11tr1B-Bhyr79v2bkwVh5h_fR-PStkgjlZtkrZpYurG0/"&amp;"edit?usp=sharing"",""ชลบุรี!L286"")+IMPORTRANGE(""https://docs.google.com/spreadsheets/d/1hh-FVnSX0vozXhGluamEcS54Dw9_zqW0N7qJUWgJ0Sw/edit?usp=sharing"",""ชัยนาท!L286"")+IMPORTRANGE(""https://docs.google.com/spreadsheets/d/1jkqa6GXxSacMcY1eN8AHjMNJ_7dDXMJ"&amp;"VRLDlaFSOdPM/edit?usp=sharing"",""ตราด!L286"")+IMPORTRANGE(""https://docs.google.com/spreadsheets/d/18hSgUJ3VwClqi_qtULmmW3cLr0oe3OKaSYoKzdpTsYQ/edit?usp=sharing"",""นครนายก!L286"")+IMPORTRANGE(""https://docs.google.com/spreadsheets/d/1YTZo6WM2dQ6Ix6FSdnL"&amp;"5P7uVnVKu40sxZu975tgG10E/edit?usp=sharing"",""นครปฐม!L286"")+IMPORTRANGE(""https://docs.google.com/spreadsheets/d/1OYoGg4WDg5RIzwGeB10padOxJF9E_Vljuvvct_M7RDo/edit?usp=sharing"",""ปทุมธานี!L286"")+IMPORTRANGE(""https://docs.google.com/spreadsheets/d/1GbCI"&amp;"E4D4wk9FUozzqk7SxfDMxDVBwVmI5zcaVUSzKAc/edit?usp=sharing"",""ประจวบคีรีขันธ์!L286"")+IMPORTRANGE(""https://docs.google.com/spreadsheets/d/1vVf6wykvW_lAyu7Yo9L4hUTqHqIeP_qcVuxCtosJEbg/edit?usp=sharing"",""ปราจีนบุรี!L286"")+IMPORTRANGE(""https://docs.googl"&amp;"e.com/spreadsheets/d/1BIDqLLg5jk3v59G8NlR8rk5xfQDKne0sAvZHSj7TI6I/edit?usp=sharing"",""พระนครศรีอยุธยา!L286"")+IMPORTRANGE(""https://docs.google.com/spreadsheets/d/1YXvxf8Yu6_rV4hTBrwMqAcAnv6DfhUxh5emyM3CJp_w/edit?usp=sharing"",""เพชรบุรี!L286"")+IMPORTRA"&amp;"NGE(""https://docs.google.com/spreadsheets/d/19KBlQQs7uwvsao6t2n-KvW3Ax8J8uRRfZPq1zPbXgKc/edit?usp=sharing"",""ระยอง!L286"")+IMPORTRANGE(""https://docs.google.com/spreadsheets/d/1jQ6P4QcrGM89YfqcC_PxOHGCMq5ezhucwJd8ci-NHng/edit?usp=sharing"",""ราชบุรี!L28"&amp;"6"")+IMPORTRANGE(""https://docs.google.com/spreadsheets/d/1lufeA2cfFqM-elVq2hznhDzC6Pr7wkJ9ZG_sYNGCMCU/edit?usp=sharing"",""ลพบุรี!L286"")+IMPORTRANGE(""https://docs.google.com/spreadsheets/d/10oOiF7loTyfsTkbd4MpaIm0HQ9SwB7IYHdIUvt-U1Uc/edit?usp=sharing"""&amp;",""สระแก้ว!L286"")+IMPORTRANGE(""https://docs.google.com/spreadsheets/d/1xmPlrr1QbdSIKvl1dWUl9K4PjAfSL9oeMr_37QVzcxc/edit?usp=sharing"",""สระบุรี!L286"")+IMPORTRANGE(""https://docs.google.com/spreadsheets/d/1j51vR6CYVGhABJpv6tkstgok82RLpXieLzW1yOY5rHw/edi"&amp;"t?usp=sharing"",""สิงห์บุรี!L286"")+IMPORTRANGE(""https://docs.google.com/spreadsheets/d/1H1EalTWKUSzO4Z1-1CwzoDUaVffgrThEBe2sl74kKG0/edit?usp=sharing"",""สุพรรณบุรี!L286"")+IMPORTRANGE(""https://docs.google.com/spreadsheets/d/1BmIruG_sIrJLYao_Pdr7zVArWsf"&amp;"oBt2692TMi6x_854/edit?usp=sharing"",""อ่างทอง!L286"")"),0)</f>
        <v>0</v>
      </c>
      <c r="M286" s="59">
        <f ca="1">IFERROR(__xludf.DUMMYFUNCTION("IMPORTRANGE(""https://docs.google.com/spreadsheets/d/13wPX838HrBrQMCywv1BsuMkt4PEKTChp52zj44s2izQ/edit?usp=sharing"",""กาญจนบุรี!M286"")+IMPORTRANGE(""https://docs.google.com/spreadsheets/d/1ddFKvqj1W1NEiWytbGlB1zMx_ykJDVtmfEQ-6-lIUBA/edit?usp=sharing"","&amp;"""จันทบุรี!M286"")+IMPORTRANGE(""https://docs.google.com/spreadsheets/d/1T1PQvRODqOBZk8BRht_U031fIS1beLA0Ub2CEytj2q0/edit?usp=sharing"",""ฉะเชิงเทรา!M286"")+IMPORTRANGE(""https://docs.google.com/spreadsheets/d/11tr1B-Bhyr79v2bkwVh5h_fR-PStkgjlZtkrZpYurG0/"&amp;"edit?usp=sharing"",""ชลบุรี!M286"")+IMPORTRANGE(""https://docs.google.com/spreadsheets/d/1hh-FVnSX0vozXhGluamEcS54Dw9_zqW0N7qJUWgJ0Sw/edit?usp=sharing"",""ชัยนาท!M286"")+IMPORTRANGE(""https://docs.google.com/spreadsheets/d/1jkqa6GXxSacMcY1eN8AHjMNJ_7dDXMJ"&amp;"VRLDlaFSOdPM/edit?usp=sharing"",""ตราด!M286"")+IMPORTRANGE(""https://docs.google.com/spreadsheets/d/18hSgUJ3VwClqi_qtULmmW3cLr0oe3OKaSYoKzdpTsYQ/edit?usp=sharing"",""นครนายก!M286"")+IMPORTRANGE(""https://docs.google.com/spreadsheets/d/1YTZo6WM2dQ6Ix6FSdnL"&amp;"5P7uVnVKu40sxZu975tgG10E/edit?usp=sharing"",""นครปฐม!M286"")+IMPORTRANGE(""https://docs.google.com/spreadsheets/d/1OYoGg4WDg5RIzwGeB10padOxJF9E_Vljuvvct_M7RDo/edit?usp=sharing"",""ปทุมธานี!M286"")+IMPORTRANGE(""https://docs.google.com/spreadsheets/d/1GbCI"&amp;"E4D4wk9FUozzqk7SxfDMxDVBwVmI5zcaVUSzKAc/edit?usp=sharing"",""ประจวบคีรีขันธ์!M286"")+IMPORTRANGE(""https://docs.google.com/spreadsheets/d/1vVf6wykvW_lAyu7Yo9L4hUTqHqIeP_qcVuxCtosJEbg/edit?usp=sharing"",""ปราจีนบุรี!M286"")+IMPORTRANGE(""https://docs.googl"&amp;"e.com/spreadsheets/d/1BIDqLLg5jk3v59G8NlR8rk5xfQDKne0sAvZHSj7TI6I/edit?usp=sharing"",""พระนครศรีอยุธยา!M286"")+IMPORTRANGE(""https://docs.google.com/spreadsheets/d/1YXvxf8Yu6_rV4hTBrwMqAcAnv6DfhUxh5emyM3CJp_w/edit?usp=sharing"",""เพชรบุรี!M286"")+IMPORTRA"&amp;"NGE(""https://docs.google.com/spreadsheets/d/19KBlQQs7uwvsao6t2n-KvW3Ax8J8uRRfZPq1zPbXgKc/edit?usp=sharing"",""ระยอง!M286"")+IMPORTRANGE(""https://docs.google.com/spreadsheets/d/1jQ6P4QcrGM89YfqcC_PxOHGCMq5ezhucwJd8ci-NHng/edit?usp=sharing"",""ราชบุรี!M28"&amp;"6"")+IMPORTRANGE(""https://docs.google.com/spreadsheets/d/1lufeA2cfFqM-elVq2hznhDzC6Pr7wkJ9ZG_sYNGCMCU/edit?usp=sharing"",""ลพบุรี!M286"")+IMPORTRANGE(""https://docs.google.com/spreadsheets/d/10oOiF7loTyfsTkbd4MpaIm0HQ9SwB7IYHdIUvt-U1Uc/edit?usp=sharing"""&amp;",""สระแก้ว!M286"")+IMPORTRANGE(""https://docs.google.com/spreadsheets/d/1xmPlrr1QbdSIKvl1dWUl9K4PjAfSL9oeMr_37QVzcxc/edit?usp=sharing"",""สระบุรี!M286"")+IMPORTRANGE(""https://docs.google.com/spreadsheets/d/1j51vR6CYVGhABJpv6tkstgok82RLpXieLzW1yOY5rHw/edi"&amp;"t?usp=sharing"",""สิงห์บุรี!M286"")+IMPORTRANGE(""https://docs.google.com/spreadsheets/d/1H1EalTWKUSzO4Z1-1CwzoDUaVffgrThEBe2sl74kKG0/edit?usp=sharing"",""สุพรรณบุรี!M286"")+IMPORTRANGE(""https://docs.google.com/spreadsheets/d/1BmIruG_sIrJLYao_Pdr7zVArWsf"&amp;"oBt2692TMi6x_854/edit?usp=sharing"",""อ่างทอง!M286"")"),0)</f>
        <v>0</v>
      </c>
      <c r="N286" s="59">
        <f ca="1">IFERROR(__xludf.DUMMYFUNCTION("IMPORTRANGE(""https://docs.google.com/spreadsheets/d/13wPX838HrBrQMCywv1BsuMkt4PEKTChp52zj44s2izQ/edit?usp=sharing"",""กาญจนบุรี!N286"")+IMPORTRANGE(""https://docs.google.com/spreadsheets/d/1ddFKvqj1W1NEiWytbGlB1zMx_ykJDVtmfEQ-6-lIUBA/edit?usp=sharing"","&amp;"""จันทบุรี!N286"")+IMPORTRANGE(""https://docs.google.com/spreadsheets/d/1T1PQvRODqOBZk8BRht_U031fIS1beLA0Ub2CEytj2q0/edit?usp=sharing"",""ฉะเชิงเทรา!N286"")+IMPORTRANGE(""https://docs.google.com/spreadsheets/d/11tr1B-Bhyr79v2bkwVh5h_fR-PStkgjlZtkrZpYurG0/"&amp;"edit?usp=sharing"",""ชลบุรี!N286"")+IMPORTRANGE(""https://docs.google.com/spreadsheets/d/1hh-FVnSX0vozXhGluamEcS54Dw9_zqW0N7qJUWgJ0Sw/edit?usp=sharing"",""ชัยนาท!N286"")+IMPORTRANGE(""https://docs.google.com/spreadsheets/d/1jkqa6GXxSacMcY1eN8AHjMNJ_7dDXMJ"&amp;"VRLDlaFSOdPM/edit?usp=sharing"",""ตราด!N286"")+IMPORTRANGE(""https://docs.google.com/spreadsheets/d/18hSgUJ3VwClqi_qtULmmW3cLr0oe3OKaSYoKzdpTsYQ/edit?usp=sharing"",""นครนายก!N286"")+IMPORTRANGE(""https://docs.google.com/spreadsheets/d/1YTZo6WM2dQ6Ix6FSdnL"&amp;"5P7uVnVKu40sxZu975tgG10E/edit?usp=sharing"",""นครปฐม!N286"")+IMPORTRANGE(""https://docs.google.com/spreadsheets/d/1OYoGg4WDg5RIzwGeB10padOxJF9E_Vljuvvct_M7RDo/edit?usp=sharing"",""ปทุมธานี!N286"")+IMPORTRANGE(""https://docs.google.com/spreadsheets/d/1GbCI"&amp;"E4D4wk9FUozzqk7SxfDMxDVBwVmI5zcaVUSzKAc/edit?usp=sharing"",""ประจวบคีรีขันธ์!N286"")+IMPORTRANGE(""https://docs.google.com/spreadsheets/d/1vVf6wykvW_lAyu7Yo9L4hUTqHqIeP_qcVuxCtosJEbg/edit?usp=sharing"",""ปราจีนบุรี!N286"")+IMPORTRANGE(""https://docs.googl"&amp;"e.com/spreadsheets/d/1BIDqLLg5jk3v59G8NlR8rk5xfQDKne0sAvZHSj7TI6I/edit?usp=sharing"",""พระนครศรีอยุธยา!N286"")+IMPORTRANGE(""https://docs.google.com/spreadsheets/d/1YXvxf8Yu6_rV4hTBrwMqAcAnv6DfhUxh5emyM3CJp_w/edit?usp=sharing"",""เพชรบุรี!N286"")+IMPORTRA"&amp;"NGE(""https://docs.google.com/spreadsheets/d/19KBlQQs7uwvsao6t2n-KvW3Ax8J8uRRfZPq1zPbXgKc/edit?usp=sharing"",""ระยอง!N286"")+IMPORTRANGE(""https://docs.google.com/spreadsheets/d/1jQ6P4QcrGM89YfqcC_PxOHGCMq5ezhucwJd8ci-NHng/edit?usp=sharing"",""ราชบุรี!N28"&amp;"6"")+IMPORTRANGE(""https://docs.google.com/spreadsheets/d/1lufeA2cfFqM-elVq2hznhDzC6Pr7wkJ9ZG_sYNGCMCU/edit?usp=sharing"",""ลพบุรี!N286"")+IMPORTRANGE(""https://docs.google.com/spreadsheets/d/10oOiF7loTyfsTkbd4MpaIm0HQ9SwB7IYHdIUvt-U1Uc/edit?usp=sharing"""&amp;",""สระแก้ว!N286"")+IMPORTRANGE(""https://docs.google.com/spreadsheets/d/1xmPlrr1QbdSIKvl1dWUl9K4PjAfSL9oeMr_37QVzcxc/edit?usp=sharing"",""สระบุรี!N286"")+IMPORTRANGE(""https://docs.google.com/spreadsheets/d/1j51vR6CYVGhABJpv6tkstgok82RLpXieLzW1yOY5rHw/edi"&amp;"t?usp=sharing"",""สิงห์บุรี!N286"")+IMPORTRANGE(""https://docs.google.com/spreadsheets/d/1H1EalTWKUSzO4Z1-1CwzoDUaVffgrThEBe2sl74kKG0/edit?usp=sharing"",""สุพรรณบุรี!N286"")+IMPORTRANGE(""https://docs.google.com/spreadsheets/d/1BmIruG_sIrJLYao_Pdr7zVArWsf"&amp;"oBt2692TMi6x_854/edit?usp=sharing"",""อ่างทอง!N286"")"),0)</f>
        <v>0</v>
      </c>
      <c r="O286" s="59">
        <f t="shared" ca="1" si="119"/>
        <v>0</v>
      </c>
      <c r="P286" s="59">
        <f t="shared" ca="1" si="120"/>
        <v>0</v>
      </c>
    </row>
    <row r="287" spans="1:16" ht="18.75" x14ac:dyDescent="0.25">
      <c r="A287" s="157"/>
      <c r="B287" s="53"/>
      <c r="C287" s="53"/>
      <c r="D287" s="53"/>
      <c r="E287" s="60" t="s">
        <v>35</v>
      </c>
      <c r="F287" s="53"/>
      <c r="G287" s="55"/>
      <c r="H287" s="163" t="s">
        <v>12</v>
      </c>
      <c r="I287" s="164"/>
      <c r="J287" s="164"/>
      <c r="K287" s="165"/>
      <c r="L287" s="59">
        <f ca="1">IFERROR(__xludf.DUMMYFUNCTION("IMPORTRANGE(""https://docs.google.com/spreadsheets/d/13wPX838HrBrQMCywv1BsuMkt4PEKTChp52zj44s2izQ/edit?usp=sharing"",""กาญจนบุรี!L287"")+IMPORTRANGE(""https://docs.google.com/spreadsheets/d/1ddFKvqj1W1NEiWytbGlB1zMx_ykJDVtmfEQ-6-lIUBA/edit?usp=sharing"","&amp;"""จันทบุรี!L287"")+IMPORTRANGE(""https://docs.google.com/spreadsheets/d/1T1PQvRODqOBZk8BRht_U031fIS1beLA0Ub2CEytj2q0/edit?usp=sharing"",""ฉะเชิงเทรา!L287"")+IMPORTRANGE(""https://docs.google.com/spreadsheets/d/11tr1B-Bhyr79v2bkwVh5h_fR-PStkgjlZtkrZpYurG0/"&amp;"edit?usp=sharing"",""ชลบุรี!L287"")+IMPORTRANGE(""https://docs.google.com/spreadsheets/d/1hh-FVnSX0vozXhGluamEcS54Dw9_zqW0N7qJUWgJ0Sw/edit?usp=sharing"",""ชัยนาท!L287"")+IMPORTRANGE(""https://docs.google.com/spreadsheets/d/1jkqa6GXxSacMcY1eN8AHjMNJ_7dDXMJ"&amp;"VRLDlaFSOdPM/edit?usp=sharing"",""ตราด!L287"")+IMPORTRANGE(""https://docs.google.com/spreadsheets/d/18hSgUJ3VwClqi_qtULmmW3cLr0oe3OKaSYoKzdpTsYQ/edit?usp=sharing"",""นครนายก!L287"")+IMPORTRANGE(""https://docs.google.com/spreadsheets/d/1YTZo6WM2dQ6Ix6FSdnL"&amp;"5P7uVnVKu40sxZu975tgG10E/edit?usp=sharing"",""นครปฐม!L287"")+IMPORTRANGE(""https://docs.google.com/spreadsheets/d/1OYoGg4WDg5RIzwGeB10padOxJF9E_Vljuvvct_M7RDo/edit?usp=sharing"",""ปทุมธานี!L287"")+IMPORTRANGE(""https://docs.google.com/spreadsheets/d/1GbCI"&amp;"E4D4wk9FUozzqk7SxfDMxDVBwVmI5zcaVUSzKAc/edit?usp=sharing"",""ประจวบคีรีขันธ์!L287"")+IMPORTRANGE(""https://docs.google.com/spreadsheets/d/1vVf6wykvW_lAyu7Yo9L4hUTqHqIeP_qcVuxCtosJEbg/edit?usp=sharing"",""ปราจีนบุรี!L287"")+IMPORTRANGE(""https://docs.googl"&amp;"e.com/spreadsheets/d/1BIDqLLg5jk3v59G8NlR8rk5xfQDKne0sAvZHSj7TI6I/edit?usp=sharing"",""พระนครศรีอยุธยา!L287"")+IMPORTRANGE(""https://docs.google.com/spreadsheets/d/1YXvxf8Yu6_rV4hTBrwMqAcAnv6DfhUxh5emyM3CJp_w/edit?usp=sharing"",""เพชรบุรี!L287"")+IMPORTRA"&amp;"NGE(""https://docs.google.com/spreadsheets/d/19KBlQQs7uwvsao6t2n-KvW3Ax8J8uRRfZPq1zPbXgKc/edit?usp=sharing"",""ระยอง!L287"")+IMPORTRANGE(""https://docs.google.com/spreadsheets/d/1jQ6P4QcrGM89YfqcC_PxOHGCMq5ezhucwJd8ci-NHng/edit?usp=sharing"",""ราชบุรี!L28"&amp;"7"")+IMPORTRANGE(""https://docs.google.com/spreadsheets/d/1lufeA2cfFqM-elVq2hznhDzC6Pr7wkJ9ZG_sYNGCMCU/edit?usp=sharing"",""ลพบุรี!L287"")+IMPORTRANGE(""https://docs.google.com/spreadsheets/d/10oOiF7loTyfsTkbd4MpaIm0HQ9SwB7IYHdIUvt-U1Uc/edit?usp=sharing"""&amp;",""สระแก้ว!L287"")+IMPORTRANGE(""https://docs.google.com/spreadsheets/d/1xmPlrr1QbdSIKvl1dWUl9K4PjAfSL9oeMr_37QVzcxc/edit?usp=sharing"",""สระบุรี!L287"")+IMPORTRANGE(""https://docs.google.com/spreadsheets/d/1j51vR6CYVGhABJpv6tkstgok82RLpXieLzW1yOY5rHw/edi"&amp;"t?usp=sharing"",""สิงห์บุรี!L287"")+IMPORTRANGE(""https://docs.google.com/spreadsheets/d/1H1EalTWKUSzO4Z1-1CwzoDUaVffgrThEBe2sl74kKG0/edit?usp=sharing"",""สุพรรณบุรี!L287"")+IMPORTRANGE(""https://docs.google.com/spreadsheets/d/1BmIruG_sIrJLYao_Pdr7zVArWsf"&amp;"oBt2692TMi6x_854/edit?usp=sharing"",""อ่างทอง!L287"")"),137720)</f>
        <v>137720</v>
      </c>
      <c r="M287" s="59">
        <f ca="1">IFERROR(__xludf.DUMMYFUNCTION("IMPORTRANGE(""https://docs.google.com/spreadsheets/d/13wPX838HrBrQMCywv1BsuMkt4PEKTChp52zj44s2izQ/edit?usp=sharing"",""กาญจนบุรี!M287"")+IMPORTRANGE(""https://docs.google.com/spreadsheets/d/1ddFKvqj1W1NEiWytbGlB1zMx_ykJDVtmfEQ-6-lIUBA/edit?usp=sharing"","&amp;"""จันทบุรี!M287"")+IMPORTRANGE(""https://docs.google.com/spreadsheets/d/1T1PQvRODqOBZk8BRht_U031fIS1beLA0Ub2CEytj2q0/edit?usp=sharing"",""ฉะเชิงเทรา!M287"")+IMPORTRANGE(""https://docs.google.com/spreadsheets/d/11tr1B-Bhyr79v2bkwVh5h_fR-PStkgjlZtkrZpYurG0/"&amp;"edit?usp=sharing"",""ชลบุรี!M287"")+IMPORTRANGE(""https://docs.google.com/spreadsheets/d/1hh-FVnSX0vozXhGluamEcS54Dw9_zqW0N7qJUWgJ0Sw/edit?usp=sharing"",""ชัยนาท!M287"")+IMPORTRANGE(""https://docs.google.com/spreadsheets/d/1jkqa6GXxSacMcY1eN8AHjMNJ_7dDXMJ"&amp;"VRLDlaFSOdPM/edit?usp=sharing"",""ตราด!M287"")+IMPORTRANGE(""https://docs.google.com/spreadsheets/d/18hSgUJ3VwClqi_qtULmmW3cLr0oe3OKaSYoKzdpTsYQ/edit?usp=sharing"",""นครนายก!M287"")+IMPORTRANGE(""https://docs.google.com/spreadsheets/d/1YTZo6WM2dQ6Ix6FSdnL"&amp;"5P7uVnVKu40sxZu975tgG10E/edit?usp=sharing"",""นครปฐม!M287"")+IMPORTRANGE(""https://docs.google.com/spreadsheets/d/1OYoGg4WDg5RIzwGeB10padOxJF9E_Vljuvvct_M7RDo/edit?usp=sharing"",""ปทุมธานี!M287"")+IMPORTRANGE(""https://docs.google.com/spreadsheets/d/1GbCI"&amp;"E4D4wk9FUozzqk7SxfDMxDVBwVmI5zcaVUSzKAc/edit?usp=sharing"",""ประจวบคีรีขันธ์!M287"")+IMPORTRANGE(""https://docs.google.com/spreadsheets/d/1vVf6wykvW_lAyu7Yo9L4hUTqHqIeP_qcVuxCtosJEbg/edit?usp=sharing"",""ปราจีนบุรี!M287"")+IMPORTRANGE(""https://docs.googl"&amp;"e.com/spreadsheets/d/1BIDqLLg5jk3v59G8NlR8rk5xfQDKne0sAvZHSj7TI6I/edit?usp=sharing"",""พระนครศรีอยุธยา!M287"")+IMPORTRANGE(""https://docs.google.com/spreadsheets/d/1YXvxf8Yu6_rV4hTBrwMqAcAnv6DfhUxh5emyM3CJp_w/edit?usp=sharing"",""เพชรบุรี!M287"")+IMPORTRA"&amp;"NGE(""https://docs.google.com/spreadsheets/d/19KBlQQs7uwvsao6t2n-KvW3Ax8J8uRRfZPq1zPbXgKc/edit?usp=sharing"",""ระยอง!M287"")+IMPORTRANGE(""https://docs.google.com/spreadsheets/d/1jQ6P4QcrGM89YfqcC_PxOHGCMq5ezhucwJd8ci-NHng/edit?usp=sharing"",""ราชบุรี!M28"&amp;"7"")+IMPORTRANGE(""https://docs.google.com/spreadsheets/d/1lufeA2cfFqM-elVq2hznhDzC6Pr7wkJ9ZG_sYNGCMCU/edit?usp=sharing"",""ลพบุรี!M287"")+IMPORTRANGE(""https://docs.google.com/spreadsheets/d/10oOiF7loTyfsTkbd4MpaIm0HQ9SwB7IYHdIUvt-U1Uc/edit?usp=sharing"""&amp;",""สระแก้ว!M287"")+IMPORTRANGE(""https://docs.google.com/spreadsheets/d/1xmPlrr1QbdSIKvl1dWUl9K4PjAfSL9oeMr_37QVzcxc/edit?usp=sharing"",""สระบุรี!M287"")+IMPORTRANGE(""https://docs.google.com/spreadsheets/d/1j51vR6CYVGhABJpv6tkstgok82RLpXieLzW1yOY5rHw/edi"&amp;"t?usp=sharing"",""สิงห์บุรี!M287"")+IMPORTRANGE(""https://docs.google.com/spreadsheets/d/1H1EalTWKUSzO4Z1-1CwzoDUaVffgrThEBe2sl74kKG0/edit?usp=sharing"",""สุพรรณบุรี!M287"")+IMPORTRANGE(""https://docs.google.com/spreadsheets/d/1BmIruG_sIrJLYao_Pdr7zVArWsf"&amp;"oBt2692TMi6x_854/edit?usp=sharing"",""อ่างทอง!M287"")"),102980)</f>
        <v>102980</v>
      </c>
      <c r="N287" s="59">
        <f ca="1">IFERROR(__xludf.DUMMYFUNCTION("IMPORTRANGE(""https://docs.google.com/spreadsheets/d/13wPX838HrBrQMCywv1BsuMkt4PEKTChp52zj44s2izQ/edit?usp=sharing"",""กาญจนบุรี!N287"")+IMPORTRANGE(""https://docs.google.com/spreadsheets/d/1ddFKvqj1W1NEiWytbGlB1zMx_ykJDVtmfEQ-6-lIUBA/edit?usp=sharing"","&amp;"""จันทบุรี!N287"")+IMPORTRANGE(""https://docs.google.com/spreadsheets/d/1T1PQvRODqOBZk8BRht_U031fIS1beLA0Ub2CEytj2q0/edit?usp=sharing"",""ฉะเชิงเทรา!N287"")+IMPORTRANGE(""https://docs.google.com/spreadsheets/d/11tr1B-Bhyr79v2bkwVh5h_fR-PStkgjlZtkrZpYurG0/"&amp;"edit?usp=sharing"",""ชลบุรี!N287"")+IMPORTRANGE(""https://docs.google.com/spreadsheets/d/1hh-FVnSX0vozXhGluamEcS54Dw9_zqW0N7qJUWgJ0Sw/edit?usp=sharing"",""ชัยนาท!N287"")+IMPORTRANGE(""https://docs.google.com/spreadsheets/d/1jkqa6GXxSacMcY1eN8AHjMNJ_7dDXMJ"&amp;"VRLDlaFSOdPM/edit?usp=sharing"",""ตราด!N287"")+IMPORTRANGE(""https://docs.google.com/spreadsheets/d/18hSgUJ3VwClqi_qtULmmW3cLr0oe3OKaSYoKzdpTsYQ/edit?usp=sharing"",""นครนายก!N287"")+IMPORTRANGE(""https://docs.google.com/spreadsheets/d/1YTZo6WM2dQ6Ix6FSdnL"&amp;"5P7uVnVKu40sxZu975tgG10E/edit?usp=sharing"",""นครปฐม!N287"")+IMPORTRANGE(""https://docs.google.com/spreadsheets/d/1OYoGg4WDg5RIzwGeB10padOxJF9E_Vljuvvct_M7RDo/edit?usp=sharing"",""ปทุมธานี!N287"")+IMPORTRANGE(""https://docs.google.com/spreadsheets/d/1GbCI"&amp;"E4D4wk9FUozzqk7SxfDMxDVBwVmI5zcaVUSzKAc/edit?usp=sharing"",""ประจวบคีรีขันธ์!N287"")+IMPORTRANGE(""https://docs.google.com/spreadsheets/d/1vVf6wykvW_lAyu7Yo9L4hUTqHqIeP_qcVuxCtosJEbg/edit?usp=sharing"",""ปราจีนบุรี!N287"")+IMPORTRANGE(""https://docs.googl"&amp;"e.com/spreadsheets/d/1BIDqLLg5jk3v59G8NlR8rk5xfQDKne0sAvZHSj7TI6I/edit?usp=sharing"",""พระนครศรีอยุธยา!N287"")+IMPORTRANGE(""https://docs.google.com/spreadsheets/d/1YXvxf8Yu6_rV4hTBrwMqAcAnv6DfhUxh5emyM3CJp_w/edit?usp=sharing"",""เพชรบุรี!N287"")+IMPORTRA"&amp;"NGE(""https://docs.google.com/spreadsheets/d/19KBlQQs7uwvsao6t2n-KvW3Ax8J8uRRfZPq1zPbXgKc/edit?usp=sharing"",""ระยอง!N287"")+IMPORTRANGE(""https://docs.google.com/spreadsheets/d/1jQ6P4QcrGM89YfqcC_PxOHGCMq5ezhucwJd8ci-NHng/edit?usp=sharing"",""ราชบุรี!N28"&amp;"7"")+IMPORTRANGE(""https://docs.google.com/spreadsheets/d/1lufeA2cfFqM-elVq2hznhDzC6Pr7wkJ9ZG_sYNGCMCU/edit?usp=sharing"",""ลพบุรี!N287"")+IMPORTRANGE(""https://docs.google.com/spreadsheets/d/10oOiF7loTyfsTkbd4MpaIm0HQ9SwB7IYHdIUvt-U1Uc/edit?usp=sharing"""&amp;",""สระแก้ว!N287"")+IMPORTRANGE(""https://docs.google.com/spreadsheets/d/1xmPlrr1QbdSIKvl1dWUl9K4PjAfSL9oeMr_37QVzcxc/edit?usp=sharing"",""สระบุรี!N287"")+IMPORTRANGE(""https://docs.google.com/spreadsheets/d/1j51vR6CYVGhABJpv6tkstgok82RLpXieLzW1yOY5rHw/edi"&amp;"t?usp=sharing"",""สิงห์บุรี!N287"")+IMPORTRANGE(""https://docs.google.com/spreadsheets/d/1H1EalTWKUSzO4Z1-1CwzoDUaVffgrThEBe2sl74kKG0/edit?usp=sharing"",""สุพรรณบุรี!N287"")+IMPORTRANGE(""https://docs.google.com/spreadsheets/d/1BmIruG_sIrJLYao_Pdr7zVArWsf"&amp;"oBt2692TMi6x_854/edit?usp=sharing"",""อ่างทอง!N287"")"),33500)</f>
        <v>33500</v>
      </c>
      <c r="O287" s="59">
        <f t="shared" ca="1" si="119"/>
        <v>24.324716816729595</v>
      </c>
      <c r="P287" s="59">
        <f t="shared" ca="1" si="120"/>
        <v>32.530588463779374</v>
      </c>
    </row>
    <row r="288" spans="1:16" ht="18.75" x14ac:dyDescent="0.25">
      <c r="A288" s="157"/>
      <c r="B288" s="53"/>
      <c r="C288" s="53"/>
      <c r="D288" s="54" t="s">
        <v>21</v>
      </c>
      <c r="E288" s="53"/>
      <c r="F288" s="53"/>
      <c r="G288" s="55"/>
      <c r="H288" s="166" t="s">
        <v>12</v>
      </c>
      <c r="I288" s="164"/>
      <c r="J288" s="164"/>
      <c r="K288" s="165"/>
      <c r="L288" s="59">
        <f t="shared" ref="L288:N288" ca="1" si="124">L289+L290</f>
        <v>0</v>
      </c>
      <c r="M288" s="59">
        <f t="shared" ca="1" si="124"/>
        <v>0</v>
      </c>
      <c r="N288" s="59">
        <f t="shared" ca="1" si="124"/>
        <v>0</v>
      </c>
      <c r="O288" s="59">
        <f t="shared" ca="1" si="119"/>
        <v>0</v>
      </c>
      <c r="P288" s="59">
        <f t="shared" ca="1" si="120"/>
        <v>0</v>
      </c>
    </row>
    <row r="289" spans="1:16" ht="18.75" x14ac:dyDescent="0.25">
      <c r="A289" s="157"/>
      <c r="B289" s="53"/>
      <c r="C289" s="53"/>
      <c r="D289" s="53"/>
      <c r="E289" s="60" t="s">
        <v>18</v>
      </c>
      <c r="F289" s="53"/>
      <c r="G289" s="55"/>
      <c r="H289" s="163" t="s">
        <v>12</v>
      </c>
      <c r="I289" s="164"/>
      <c r="J289" s="164"/>
      <c r="K289" s="165"/>
      <c r="L289" s="59">
        <f ca="1">IFERROR(__xludf.DUMMYFUNCTION("IMPORTRANGE(""https://docs.google.com/spreadsheets/d/13wPX838HrBrQMCywv1BsuMkt4PEKTChp52zj44s2izQ/edit?usp=sharing"",""กาญจนบุรี!L289"")+IMPORTRANGE(""https://docs.google.com/spreadsheets/d/1ddFKvqj1W1NEiWytbGlB1zMx_ykJDVtmfEQ-6-lIUBA/edit?usp=sharing"","&amp;"""จันทบุรี!L289"")+IMPORTRANGE(""https://docs.google.com/spreadsheets/d/1T1PQvRODqOBZk8BRht_U031fIS1beLA0Ub2CEytj2q0/edit?usp=sharing"",""ฉะเชิงเทรา!L289"")+IMPORTRANGE(""https://docs.google.com/spreadsheets/d/11tr1B-Bhyr79v2bkwVh5h_fR-PStkgjlZtkrZpYurG0/"&amp;"edit?usp=sharing"",""ชลบุรี!L289"")+IMPORTRANGE(""https://docs.google.com/spreadsheets/d/1hh-FVnSX0vozXhGluamEcS54Dw9_zqW0N7qJUWgJ0Sw/edit?usp=sharing"",""ชัยนาท!L289"")+IMPORTRANGE(""https://docs.google.com/spreadsheets/d/1jkqa6GXxSacMcY1eN8AHjMNJ_7dDXMJ"&amp;"VRLDlaFSOdPM/edit?usp=sharing"",""ตราด!L289"")+IMPORTRANGE(""https://docs.google.com/spreadsheets/d/18hSgUJ3VwClqi_qtULmmW3cLr0oe3OKaSYoKzdpTsYQ/edit?usp=sharing"",""นครนายก!L289"")+IMPORTRANGE(""https://docs.google.com/spreadsheets/d/1YTZo6WM2dQ6Ix6FSdnL"&amp;"5P7uVnVKu40sxZu975tgG10E/edit?usp=sharing"",""นครปฐม!L289"")+IMPORTRANGE(""https://docs.google.com/spreadsheets/d/1OYoGg4WDg5RIzwGeB10padOxJF9E_Vljuvvct_M7RDo/edit?usp=sharing"",""ปทุมธานี!L289"")+IMPORTRANGE(""https://docs.google.com/spreadsheets/d/1GbCI"&amp;"E4D4wk9FUozzqk7SxfDMxDVBwVmI5zcaVUSzKAc/edit?usp=sharing"",""ประจวบคีรีขันธ์!L289"")+IMPORTRANGE(""https://docs.google.com/spreadsheets/d/1vVf6wykvW_lAyu7Yo9L4hUTqHqIeP_qcVuxCtosJEbg/edit?usp=sharing"",""ปราจีนบุรี!L289"")+IMPORTRANGE(""https://docs.googl"&amp;"e.com/spreadsheets/d/1BIDqLLg5jk3v59G8NlR8rk5xfQDKne0sAvZHSj7TI6I/edit?usp=sharing"",""พระนครศรีอยุธยา!L289"")+IMPORTRANGE(""https://docs.google.com/spreadsheets/d/1YXvxf8Yu6_rV4hTBrwMqAcAnv6DfhUxh5emyM3CJp_w/edit?usp=sharing"",""เพชรบุรี!L289"")+IMPORTRA"&amp;"NGE(""https://docs.google.com/spreadsheets/d/19KBlQQs7uwvsao6t2n-KvW3Ax8J8uRRfZPq1zPbXgKc/edit?usp=sharing"",""ระยอง!L289"")+IMPORTRANGE(""https://docs.google.com/spreadsheets/d/1jQ6P4QcrGM89YfqcC_PxOHGCMq5ezhucwJd8ci-NHng/edit?usp=sharing"",""ราชบุรี!L28"&amp;"9"")+IMPORTRANGE(""https://docs.google.com/spreadsheets/d/1lufeA2cfFqM-elVq2hznhDzC6Pr7wkJ9ZG_sYNGCMCU/edit?usp=sharing"",""ลพบุรี!L289"")+IMPORTRANGE(""https://docs.google.com/spreadsheets/d/10oOiF7loTyfsTkbd4MpaIm0HQ9SwB7IYHdIUvt-U1Uc/edit?usp=sharing"""&amp;",""สระแก้ว!L289"")+IMPORTRANGE(""https://docs.google.com/spreadsheets/d/1xmPlrr1QbdSIKvl1dWUl9K4PjAfSL9oeMr_37QVzcxc/edit?usp=sharing"",""สระบุรี!L289"")+IMPORTRANGE(""https://docs.google.com/spreadsheets/d/1j51vR6CYVGhABJpv6tkstgok82RLpXieLzW1yOY5rHw/edi"&amp;"t?usp=sharing"",""สิงห์บุรี!L289"")+IMPORTRANGE(""https://docs.google.com/spreadsheets/d/1H1EalTWKUSzO4Z1-1CwzoDUaVffgrThEBe2sl74kKG0/edit?usp=sharing"",""สุพรรณบุรี!L289"")+IMPORTRANGE(""https://docs.google.com/spreadsheets/d/1BmIruG_sIrJLYao_Pdr7zVArWsf"&amp;"oBt2692TMi6x_854/edit?usp=sharing"",""อ่างทอง!L289"")"),0)</f>
        <v>0</v>
      </c>
      <c r="M289" s="59">
        <f ca="1">IFERROR(__xludf.DUMMYFUNCTION("IMPORTRANGE(""https://docs.google.com/spreadsheets/d/13wPX838HrBrQMCywv1BsuMkt4PEKTChp52zj44s2izQ/edit?usp=sharing"",""กาญจนบุรี!M289"")+IMPORTRANGE(""https://docs.google.com/spreadsheets/d/1ddFKvqj1W1NEiWytbGlB1zMx_ykJDVtmfEQ-6-lIUBA/edit?usp=sharing"","&amp;"""จันทบุรี!M289"")+IMPORTRANGE(""https://docs.google.com/spreadsheets/d/1T1PQvRODqOBZk8BRht_U031fIS1beLA0Ub2CEytj2q0/edit?usp=sharing"",""ฉะเชิงเทรา!M289"")+IMPORTRANGE(""https://docs.google.com/spreadsheets/d/11tr1B-Bhyr79v2bkwVh5h_fR-PStkgjlZtkrZpYurG0/"&amp;"edit?usp=sharing"",""ชลบุรี!M289"")+IMPORTRANGE(""https://docs.google.com/spreadsheets/d/1hh-FVnSX0vozXhGluamEcS54Dw9_zqW0N7qJUWgJ0Sw/edit?usp=sharing"",""ชัยนาท!M289"")+IMPORTRANGE(""https://docs.google.com/spreadsheets/d/1jkqa6GXxSacMcY1eN8AHjMNJ_7dDXMJ"&amp;"VRLDlaFSOdPM/edit?usp=sharing"",""ตราด!M289"")+IMPORTRANGE(""https://docs.google.com/spreadsheets/d/18hSgUJ3VwClqi_qtULmmW3cLr0oe3OKaSYoKzdpTsYQ/edit?usp=sharing"",""นครนายก!M289"")+IMPORTRANGE(""https://docs.google.com/spreadsheets/d/1YTZo6WM2dQ6Ix6FSdnL"&amp;"5P7uVnVKu40sxZu975tgG10E/edit?usp=sharing"",""นครปฐม!M289"")+IMPORTRANGE(""https://docs.google.com/spreadsheets/d/1OYoGg4WDg5RIzwGeB10padOxJF9E_Vljuvvct_M7RDo/edit?usp=sharing"",""ปทุมธานี!M289"")+IMPORTRANGE(""https://docs.google.com/spreadsheets/d/1GbCI"&amp;"E4D4wk9FUozzqk7SxfDMxDVBwVmI5zcaVUSzKAc/edit?usp=sharing"",""ประจวบคีรีขันธ์!M289"")+IMPORTRANGE(""https://docs.google.com/spreadsheets/d/1vVf6wykvW_lAyu7Yo9L4hUTqHqIeP_qcVuxCtosJEbg/edit?usp=sharing"",""ปราจีนบุรี!M289"")+IMPORTRANGE(""https://docs.googl"&amp;"e.com/spreadsheets/d/1BIDqLLg5jk3v59G8NlR8rk5xfQDKne0sAvZHSj7TI6I/edit?usp=sharing"",""พระนครศรีอยุธยา!M289"")+IMPORTRANGE(""https://docs.google.com/spreadsheets/d/1YXvxf8Yu6_rV4hTBrwMqAcAnv6DfhUxh5emyM3CJp_w/edit?usp=sharing"",""เพชรบุรี!M289"")+IMPORTRA"&amp;"NGE(""https://docs.google.com/spreadsheets/d/19KBlQQs7uwvsao6t2n-KvW3Ax8J8uRRfZPq1zPbXgKc/edit?usp=sharing"",""ระยอง!M289"")+IMPORTRANGE(""https://docs.google.com/spreadsheets/d/1jQ6P4QcrGM89YfqcC_PxOHGCMq5ezhucwJd8ci-NHng/edit?usp=sharing"",""ราชบุรี!M28"&amp;"9"")+IMPORTRANGE(""https://docs.google.com/spreadsheets/d/1lufeA2cfFqM-elVq2hznhDzC6Pr7wkJ9ZG_sYNGCMCU/edit?usp=sharing"",""ลพบุรี!M289"")+IMPORTRANGE(""https://docs.google.com/spreadsheets/d/10oOiF7loTyfsTkbd4MpaIm0HQ9SwB7IYHdIUvt-U1Uc/edit?usp=sharing"""&amp;",""สระแก้ว!M289"")+IMPORTRANGE(""https://docs.google.com/spreadsheets/d/1xmPlrr1QbdSIKvl1dWUl9K4PjAfSL9oeMr_37QVzcxc/edit?usp=sharing"",""สระบุรี!M289"")+IMPORTRANGE(""https://docs.google.com/spreadsheets/d/1j51vR6CYVGhABJpv6tkstgok82RLpXieLzW1yOY5rHw/edi"&amp;"t?usp=sharing"",""สิงห์บุรี!M289"")+IMPORTRANGE(""https://docs.google.com/spreadsheets/d/1H1EalTWKUSzO4Z1-1CwzoDUaVffgrThEBe2sl74kKG0/edit?usp=sharing"",""สุพรรณบุรี!M289"")+IMPORTRANGE(""https://docs.google.com/spreadsheets/d/1BmIruG_sIrJLYao_Pdr7zVArWsf"&amp;"oBt2692TMi6x_854/edit?usp=sharing"",""อ่างทอง!M289"")"),0)</f>
        <v>0</v>
      </c>
      <c r="N289" s="59">
        <f ca="1">IFERROR(__xludf.DUMMYFUNCTION("IMPORTRANGE(""https://docs.google.com/spreadsheets/d/13wPX838HrBrQMCywv1BsuMkt4PEKTChp52zj44s2izQ/edit?usp=sharing"",""กาญจนบุรี!N289"")+IMPORTRANGE(""https://docs.google.com/spreadsheets/d/1ddFKvqj1W1NEiWytbGlB1zMx_ykJDVtmfEQ-6-lIUBA/edit?usp=sharing"","&amp;"""จันทบุรี!N289"")+IMPORTRANGE(""https://docs.google.com/spreadsheets/d/1T1PQvRODqOBZk8BRht_U031fIS1beLA0Ub2CEytj2q0/edit?usp=sharing"",""ฉะเชิงเทรา!N289"")+IMPORTRANGE(""https://docs.google.com/spreadsheets/d/11tr1B-Bhyr79v2bkwVh5h_fR-PStkgjlZtkrZpYurG0/"&amp;"edit?usp=sharing"",""ชลบุรี!N289"")+IMPORTRANGE(""https://docs.google.com/spreadsheets/d/1hh-FVnSX0vozXhGluamEcS54Dw9_zqW0N7qJUWgJ0Sw/edit?usp=sharing"",""ชัยนาท!N289"")+IMPORTRANGE(""https://docs.google.com/spreadsheets/d/1jkqa6GXxSacMcY1eN8AHjMNJ_7dDXMJ"&amp;"VRLDlaFSOdPM/edit?usp=sharing"",""ตราด!N289"")+IMPORTRANGE(""https://docs.google.com/spreadsheets/d/18hSgUJ3VwClqi_qtULmmW3cLr0oe3OKaSYoKzdpTsYQ/edit?usp=sharing"",""นครนายก!N289"")+IMPORTRANGE(""https://docs.google.com/spreadsheets/d/1YTZo6WM2dQ6Ix6FSdnL"&amp;"5P7uVnVKu40sxZu975tgG10E/edit?usp=sharing"",""นครปฐม!N289"")+IMPORTRANGE(""https://docs.google.com/spreadsheets/d/1OYoGg4WDg5RIzwGeB10padOxJF9E_Vljuvvct_M7RDo/edit?usp=sharing"",""ปทุมธานี!N289"")+IMPORTRANGE(""https://docs.google.com/spreadsheets/d/1GbCI"&amp;"E4D4wk9FUozzqk7SxfDMxDVBwVmI5zcaVUSzKAc/edit?usp=sharing"",""ประจวบคีรีขันธ์!N289"")+IMPORTRANGE(""https://docs.google.com/spreadsheets/d/1vVf6wykvW_lAyu7Yo9L4hUTqHqIeP_qcVuxCtosJEbg/edit?usp=sharing"",""ปราจีนบุรี!N289"")+IMPORTRANGE(""https://docs.googl"&amp;"e.com/spreadsheets/d/1BIDqLLg5jk3v59G8NlR8rk5xfQDKne0sAvZHSj7TI6I/edit?usp=sharing"",""พระนครศรีอยุธยา!N289"")+IMPORTRANGE(""https://docs.google.com/spreadsheets/d/1YXvxf8Yu6_rV4hTBrwMqAcAnv6DfhUxh5emyM3CJp_w/edit?usp=sharing"",""เพชรบุรี!N289"")+IMPORTRA"&amp;"NGE(""https://docs.google.com/spreadsheets/d/19KBlQQs7uwvsao6t2n-KvW3Ax8J8uRRfZPq1zPbXgKc/edit?usp=sharing"",""ระยอง!N289"")+IMPORTRANGE(""https://docs.google.com/spreadsheets/d/1jQ6P4QcrGM89YfqcC_PxOHGCMq5ezhucwJd8ci-NHng/edit?usp=sharing"",""ราชบุรี!N28"&amp;"9"")+IMPORTRANGE(""https://docs.google.com/spreadsheets/d/1lufeA2cfFqM-elVq2hznhDzC6Pr7wkJ9ZG_sYNGCMCU/edit?usp=sharing"",""ลพบุรี!N289"")+IMPORTRANGE(""https://docs.google.com/spreadsheets/d/10oOiF7loTyfsTkbd4MpaIm0HQ9SwB7IYHdIUvt-U1Uc/edit?usp=sharing"""&amp;",""สระแก้ว!N289"")+IMPORTRANGE(""https://docs.google.com/spreadsheets/d/1xmPlrr1QbdSIKvl1dWUl9K4PjAfSL9oeMr_37QVzcxc/edit?usp=sharing"",""สระบุรี!N289"")+IMPORTRANGE(""https://docs.google.com/spreadsheets/d/1j51vR6CYVGhABJpv6tkstgok82RLpXieLzW1yOY5rHw/edi"&amp;"t?usp=sharing"",""สิงห์บุรี!N289"")+IMPORTRANGE(""https://docs.google.com/spreadsheets/d/1H1EalTWKUSzO4Z1-1CwzoDUaVffgrThEBe2sl74kKG0/edit?usp=sharing"",""สุพรรณบุรี!N289"")+IMPORTRANGE(""https://docs.google.com/spreadsheets/d/1BmIruG_sIrJLYao_Pdr7zVArWsf"&amp;"oBt2692TMi6x_854/edit?usp=sharing"",""อ่างทอง!N289"")"),0)</f>
        <v>0</v>
      </c>
      <c r="O289" s="59">
        <f t="shared" ca="1" si="119"/>
        <v>0</v>
      </c>
      <c r="P289" s="59">
        <f t="shared" ca="1" si="120"/>
        <v>0</v>
      </c>
    </row>
    <row r="290" spans="1:16" ht="18.75" x14ac:dyDescent="0.25">
      <c r="A290" s="157"/>
      <c r="B290" s="53"/>
      <c r="C290" s="53"/>
      <c r="D290" s="53"/>
      <c r="E290" s="60" t="s">
        <v>19</v>
      </c>
      <c r="F290" s="53"/>
      <c r="G290" s="55"/>
      <c r="H290" s="166" t="s">
        <v>12</v>
      </c>
      <c r="I290" s="164"/>
      <c r="J290" s="164"/>
      <c r="K290" s="165"/>
      <c r="L290" s="59">
        <f ca="1">IFERROR(__xludf.DUMMYFUNCTION("IMPORTRANGE(""https://docs.google.com/spreadsheets/d/13wPX838HrBrQMCywv1BsuMkt4PEKTChp52zj44s2izQ/edit?usp=sharing"",""กาญจนบุรี!L290"")+IMPORTRANGE(""https://docs.google.com/spreadsheets/d/1ddFKvqj1W1NEiWytbGlB1zMx_ykJDVtmfEQ-6-lIUBA/edit?usp=sharing"","&amp;"""จันทบุรี!L290"")+IMPORTRANGE(""https://docs.google.com/spreadsheets/d/1T1PQvRODqOBZk8BRht_U031fIS1beLA0Ub2CEytj2q0/edit?usp=sharing"",""ฉะเชิงเทรา!L290"")+IMPORTRANGE(""https://docs.google.com/spreadsheets/d/11tr1B-Bhyr79v2bkwVh5h_fR-PStkgjlZtkrZpYurG0/"&amp;"edit?usp=sharing"",""ชลบุรี!L290"")+IMPORTRANGE(""https://docs.google.com/spreadsheets/d/1hh-FVnSX0vozXhGluamEcS54Dw9_zqW0N7qJUWgJ0Sw/edit?usp=sharing"",""ชัยนาท!L290"")+IMPORTRANGE(""https://docs.google.com/spreadsheets/d/1jkqa6GXxSacMcY1eN8AHjMNJ_7dDXMJ"&amp;"VRLDlaFSOdPM/edit?usp=sharing"",""ตราด!L290"")+IMPORTRANGE(""https://docs.google.com/spreadsheets/d/18hSgUJ3VwClqi_qtULmmW3cLr0oe3OKaSYoKzdpTsYQ/edit?usp=sharing"",""นครนายก!L290"")+IMPORTRANGE(""https://docs.google.com/spreadsheets/d/1YTZo6WM2dQ6Ix6FSdnL"&amp;"5P7uVnVKu40sxZu975tgG10E/edit?usp=sharing"",""นครปฐม!L290"")+IMPORTRANGE(""https://docs.google.com/spreadsheets/d/1OYoGg4WDg5RIzwGeB10padOxJF9E_Vljuvvct_M7RDo/edit?usp=sharing"",""ปทุมธานี!L290"")+IMPORTRANGE(""https://docs.google.com/spreadsheets/d/1GbCI"&amp;"E4D4wk9FUozzqk7SxfDMxDVBwVmI5zcaVUSzKAc/edit?usp=sharing"",""ประจวบคีรีขันธ์!L290"")+IMPORTRANGE(""https://docs.google.com/spreadsheets/d/1vVf6wykvW_lAyu7Yo9L4hUTqHqIeP_qcVuxCtosJEbg/edit?usp=sharing"",""ปราจีนบุรี!L290"")+IMPORTRANGE(""https://docs.googl"&amp;"e.com/spreadsheets/d/1BIDqLLg5jk3v59G8NlR8rk5xfQDKne0sAvZHSj7TI6I/edit?usp=sharing"",""พระนครศรีอยุธยา!L290"")+IMPORTRANGE(""https://docs.google.com/spreadsheets/d/1YXvxf8Yu6_rV4hTBrwMqAcAnv6DfhUxh5emyM3CJp_w/edit?usp=sharing"",""เพชรบุรี!L290"")+IMPORTRA"&amp;"NGE(""https://docs.google.com/spreadsheets/d/19KBlQQs7uwvsao6t2n-KvW3Ax8J8uRRfZPq1zPbXgKc/edit?usp=sharing"",""ระยอง!L290"")+IMPORTRANGE(""https://docs.google.com/spreadsheets/d/1jQ6P4QcrGM89YfqcC_PxOHGCMq5ezhucwJd8ci-NHng/edit?usp=sharing"",""ราชบุรี!L29"&amp;"0"")+IMPORTRANGE(""https://docs.google.com/spreadsheets/d/1lufeA2cfFqM-elVq2hznhDzC6Pr7wkJ9ZG_sYNGCMCU/edit?usp=sharing"",""ลพบุรี!L290"")+IMPORTRANGE(""https://docs.google.com/spreadsheets/d/10oOiF7loTyfsTkbd4MpaIm0HQ9SwB7IYHdIUvt-U1Uc/edit?usp=sharing"""&amp;",""สระแก้ว!L290"")+IMPORTRANGE(""https://docs.google.com/spreadsheets/d/1xmPlrr1QbdSIKvl1dWUl9K4PjAfSL9oeMr_37QVzcxc/edit?usp=sharing"",""สระบุรี!L290"")+IMPORTRANGE(""https://docs.google.com/spreadsheets/d/1j51vR6CYVGhABJpv6tkstgok82RLpXieLzW1yOY5rHw/edi"&amp;"t?usp=sharing"",""สิงห์บุรี!L290"")+IMPORTRANGE(""https://docs.google.com/spreadsheets/d/1H1EalTWKUSzO4Z1-1CwzoDUaVffgrThEBe2sl74kKG0/edit?usp=sharing"",""สุพรรณบุรี!L290"")+IMPORTRANGE(""https://docs.google.com/spreadsheets/d/1BmIruG_sIrJLYao_Pdr7zVArWsf"&amp;"oBt2692TMi6x_854/edit?usp=sharing"",""อ่างทอง!L290"")"),0)</f>
        <v>0</v>
      </c>
      <c r="M290" s="59">
        <f ca="1">IFERROR(__xludf.DUMMYFUNCTION("IMPORTRANGE(""https://docs.google.com/spreadsheets/d/13wPX838HrBrQMCywv1BsuMkt4PEKTChp52zj44s2izQ/edit?usp=sharing"",""กาญจนบุรี!M290"")+IMPORTRANGE(""https://docs.google.com/spreadsheets/d/1ddFKvqj1W1NEiWytbGlB1zMx_ykJDVtmfEQ-6-lIUBA/edit?usp=sharing"","&amp;"""จันทบุรี!M290"")+IMPORTRANGE(""https://docs.google.com/spreadsheets/d/1T1PQvRODqOBZk8BRht_U031fIS1beLA0Ub2CEytj2q0/edit?usp=sharing"",""ฉะเชิงเทรา!M290"")+IMPORTRANGE(""https://docs.google.com/spreadsheets/d/11tr1B-Bhyr79v2bkwVh5h_fR-PStkgjlZtkrZpYurG0/"&amp;"edit?usp=sharing"",""ชลบุรี!M290"")+IMPORTRANGE(""https://docs.google.com/spreadsheets/d/1hh-FVnSX0vozXhGluamEcS54Dw9_zqW0N7qJUWgJ0Sw/edit?usp=sharing"",""ชัยนาท!M290"")+IMPORTRANGE(""https://docs.google.com/spreadsheets/d/1jkqa6GXxSacMcY1eN8AHjMNJ_7dDXMJ"&amp;"VRLDlaFSOdPM/edit?usp=sharing"",""ตราด!M290"")+IMPORTRANGE(""https://docs.google.com/spreadsheets/d/18hSgUJ3VwClqi_qtULmmW3cLr0oe3OKaSYoKzdpTsYQ/edit?usp=sharing"",""นครนายก!M290"")+IMPORTRANGE(""https://docs.google.com/spreadsheets/d/1YTZo6WM2dQ6Ix6FSdnL"&amp;"5P7uVnVKu40sxZu975tgG10E/edit?usp=sharing"",""นครปฐม!M290"")+IMPORTRANGE(""https://docs.google.com/spreadsheets/d/1OYoGg4WDg5RIzwGeB10padOxJF9E_Vljuvvct_M7RDo/edit?usp=sharing"",""ปทุมธานี!M290"")+IMPORTRANGE(""https://docs.google.com/spreadsheets/d/1GbCI"&amp;"E4D4wk9FUozzqk7SxfDMxDVBwVmI5zcaVUSzKAc/edit?usp=sharing"",""ประจวบคีรีขันธ์!M290"")+IMPORTRANGE(""https://docs.google.com/spreadsheets/d/1vVf6wykvW_lAyu7Yo9L4hUTqHqIeP_qcVuxCtosJEbg/edit?usp=sharing"",""ปราจีนบุรี!M290"")+IMPORTRANGE(""https://docs.googl"&amp;"e.com/spreadsheets/d/1BIDqLLg5jk3v59G8NlR8rk5xfQDKne0sAvZHSj7TI6I/edit?usp=sharing"",""พระนครศรีอยุธยา!M290"")+IMPORTRANGE(""https://docs.google.com/spreadsheets/d/1YXvxf8Yu6_rV4hTBrwMqAcAnv6DfhUxh5emyM3CJp_w/edit?usp=sharing"",""เพชรบุรี!M290"")+IMPORTRA"&amp;"NGE(""https://docs.google.com/spreadsheets/d/19KBlQQs7uwvsao6t2n-KvW3Ax8J8uRRfZPq1zPbXgKc/edit?usp=sharing"",""ระยอง!M290"")+IMPORTRANGE(""https://docs.google.com/spreadsheets/d/1jQ6P4QcrGM89YfqcC_PxOHGCMq5ezhucwJd8ci-NHng/edit?usp=sharing"",""ราชบุรี!M29"&amp;"0"")+IMPORTRANGE(""https://docs.google.com/spreadsheets/d/1lufeA2cfFqM-elVq2hznhDzC6Pr7wkJ9ZG_sYNGCMCU/edit?usp=sharing"",""ลพบุรี!M290"")+IMPORTRANGE(""https://docs.google.com/spreadsheets/d/10oOiF7loTyfsTkbd4MpaIm0HQ9SwB7IYHdIUvt-U1Uc/edit?usp=sharing"""&amp;",""สระแก้ว!M290"")+IMPORTRANGE(""https://docs.google.com/spreadsheets/d/1xmPlrr1QbdSIKvl1dWUl9K4PjAfSL9oeMr_37QVzcxc/edit?usp=sharing"",""สระบุรี!M290"")+IMPORTRANGE(""https://docs.google.com/spreadsheets/d/1j51vR6CYVGhABJpv6tkstgok82RLpXieLzW1yOY5rHw/edi"&amp;"t?usp=sharing"",""สิงห์บุรี!M290"")+IMPORTRANGE(""https://docs.google.com/spreadsheets/d/1H1EalTWKUSzO4Z1-1CwzoDUaVffgrThEBe2sl74kKG0/edit?usp=sharing"",""สุพรรณบุรี!M290"")+IMPORTRANGE(""https://docs.google.com/spreadsheets/d/1BmIruG_sIrJLYao_Pdr7zVArWsf"&amp;"oBt2692TMi6x_854/edit?usp=sharing"",""อ่างทอง!M290"")"),0)</f>
        <v>0</v>
      </c>
      <c r="N290" s="59">
        <f ca="1">IFERROR(__xludf.DUMMYFUNCTION("IMPORTRANGE(""https://docs.google.com/spreadsheets/d/13wPX838HrBrQMCywv1BsuMkt4PEKTChp52zj44s2izQ/edit?usp=sharing"",""กาญจนบุรี!N290"")+IMPORTRANGE(""https://docs.google.com/spreadsheets/d/1ddFKvqj1W1NEiWytbGlB1zMx_ykJDVtmfEQ-6-lIUBA/edit?usp=sharing"","&amp;"""จันทบุรี!N290"")+IMPORTRANGE(""https://docs.google.com/spreadsheets/d/1T1PQvRODqOBZk8BRht_U031fIS1beLA0Ub2CEytj2q0/edit?usp=sharing"",""ฉะเชิงเทรา!N290"")+IMPORTRANGE(""https://docs.google.com/spreadsheets/d/11tr1B-Bhyr79v2bkwVh5h_fR-PStkgjlZtkrZpYurG0/"&amp;"edit?usp=sharing"",""ชลบุรี!N290"")+IMPORTRANGE(""https://docs.google.com/spreadsheets/d/1hh-FVnSX0vozXhGluamEcS54Dw9_zqW0N7qJUWgJ0Sw/edit?usp=sharing"",""ชัยนาท!N290"")+IMPORTRANGE(""https://docs.google.com/spreadsheets/d/1jkqa6GXxSacMcY1eN8AHjMNJ_7dDXMJ"&amp;"VRLDlaFSOdPM/edit?usp=sharing"",""ตราด!N290"")+IMPORTRANGE(""https://docs.google.com/spreadsheets/d/18hSgUJ3VwClqi_qtULmmW3cLr0oe3OKaSYoKzdpTsYQ/edit?usp=sharing"",""นครนายก!N290"")+IMPORTRANGE(""https://docs.google.com/spreadsheets/d/1YTZo6WM2dQ6Ix6FSdnL"&amp;"5P7uVnVKu40sxZu975tgG10E/edit?usp=sharing"",""นครปฐม!N290"")+IMPORTRANGE(""https://docs.google.com/spreadsheets/d/1OYoGg4WDg5RIzwGeB10padOxJF9E_Vljuvvct_M7RDo/edit?usp=sharing"",""ปทุมธานี!N290"")+IMPORTRANGE(""https://docs.google.com/spreadsheets/d/1GbCI"&amp;"E4D4wk9FUozzqk7SxfDMxDVBwVmI5zcaVUSzKAc/edit?usp=sharing"",""ประจวบคีรีขันธ์!N290"")+IMPORTRANGE(""https://docs.google.com/spreadsheets/d/1vVf6wykvW_lAyu7Yo9L4hUTqHqIeP_qcVuxCtosJEbg/edit?usp=sharing"",""ปราจีนบุรี!N290"")+IMPORTRANGE(""https://docs.googl"&amp;"e.com/spreadsheets/d/1BIDqLLg5jk3v59G8NlR8rk5xfQDKne0sAvZHSj7TI6I/edit?usp=sharing"",""พระนครศรีอยุธยา!N290"")+IMPORTRANGE(""https://docs.google.com/spreadsheets/d/1YXvxf8Yu6_rV4hTBrwMqAcAnv6DfhUxh5emyM3CJp_w/edit?usp=sharing"",""เพชรบุรี!N290"")+IMPORTRA"&amp;"NGE(""https://docs.google.com/spreadsheets/d/19KBlQQs7uwvsao6t2n-KvW3Ax8J8uRRfZPq1zPbXgKc/edit?usp=sharing"",""ระยอง!N290"")+IMPORTRANGE(""https://docs.google.com/spreadsheets/d/1jQ6P4QcrGM89YfqcC_PxOHGCMq5ezhucwJd8ci-NHng/edit?usp=sharing"",""ราชบุรี!N29"&amp;"0"")+IMPORTRANGE(""https://docs.google.com/spreadsheets/d/1lufeA2cfFqM-elVq2hznhDzC6Pr7wkJ9ZG_sYNGCMCU/edit?usp=sharing"",""ลพบุรี!N290"")+IMPORTRANGE(""https://docs.google.com/spreadsheets/d/10oOiF7loTyfsTkbd4MpaIm0HQ9SwB7IYHdIUvt-U1Uc/edit?usp=sharing"""&amp;",""สระแก้ว!N290"")+IMPORTRANGE(""https://docs.google.com/spreadsheets/d/1xmPlrr1QbdSIKvl1dWUl9K4PjAfSL9oeMr_37QVzcxc/edit?usp=sharing"",""สระบุรี!N290"")+IMPORTRANGE(""https://docs.google.com/spreadsheets/d/1j51vR6CYVGhABJpv6tkstgok82RLpXieLzW1yOY5rHw/edi"&amp;"t?usp=sharing"",""สิงห์บุรี!N290"")+IMPORTRANGE(""https://docs.google.com/spreadsheets/d/1H1EalTWKUSzO4Z1-1CwzoDUaVffgrThEBe2sl74kKG0/edit?usp=sharing"",""สุพรรณบุรี!N290"")+IMPORTRANGE(""https://docs.google.com/spreadsheets/d/1BmIruG_sIrJLYao_Pdr7zVArWsf"&amp;"oBt2692TMi6x_854/edit?usp=sharing"",""อ่างทอง!N290"")"),0)</f>
        <v>0</v>
      </c>
      <c r="O290" s="59">
        <f t="shared" ca="1" si="119"/>
        <v>0</v>
      </c>
      <c r="P290" s="59">
        <f t="shared" ca="1" si="120"/>
        <v>0</v>
      </c>
    </row>
    <row r="291" spans="1:16" ht="19.5" x14ac:dyDescent="0.3">
      <c r="A291" s="167"/>
      <c r="B291" s="168"/>
      <c r="C291" s="158" t="s">
        <v>16</v>
      </c>
      <c r="D291" s="169" t="s">
        <v>36</v>
      </c>
      <c r="E291" s="170"/>
      <c r="F291" s="170"/>
      <c r="G291" s="171"/>
      <c r="H291" s="172"/>
      <c r="I291" s="164"/>
      <c r="J291" s="164"/>
      <c r="K291" s="165"/>
      <c r="L291" s="165"/>
      <c r="M291" s="165"/>
      <c r="N291" s="165"/>
      <c r="O291" s="165"/>
      <c r="P291" s="165"/>
    </row>
    <row r="292" spans="1:16" ht="18.75" x14ac:dyDescent="0.25">
      <c r="A292" s="167"/>
      <c r="B292" s="168"/>
      <c r="C292" s="168"/>
      <c r="D292" s="195" t="s">
        <v>113</v>
      </c>
      <c r="E292" s="168"/>
      <c r="F292" s="174"/>
      <c r="G292" s="172"/>
      <c r="H292" s="185" t="s">
        <v>44</v>
      </c>
      <c r="I292" s="196">
        <f ca="1">IFERROR(__xludf.DUMMYFUNCTION("IMPORTRANGE(""https://docs.google.com/spreadsheets/d/13wPX838HrBrQMCywv1BsuMkt4PEKTChp52zj44s2izQ/edit?usp=sharing"",""กาญจนบุรี!I292"")+IMPORTRANGE(""https://docs.google.com/spreadsheets/d/1ddFKvqj1W1NEiWytbGlB1zMx_ykJDVtmfEQ-6-lIUBA/edit?usp=sharing"","&amp;"""จันทบุรี!I292"")+IMPORTRANGE(""https://docs.google.com/spreadsheets/d/1T1PQvRODqOBZk8BRht_U031fIS1beLA0Ub2CEytj2q0/edit?usp=sharing"",""ฉะเชิงเทรา!I292"")+IMPORTRANGE(""https://docs.google.com/spreadsheets/d/11tr1B-Bhyr79v2bkwVh5h_fR-PStkgjlZtkrZpYurG0/"&amp;"edit?usp=sharing"",""ชลบุรี!I292"")+IMPORTRANGE(""https://docs.google.com/spreadsheets/d/1hh-FVnSX0vozXhGluamEcS54Dw9_zqW0N7qJUWgJ0Sw/edit?usp=sharing"",""ชัยนาท!I292"")+IMPORTRANGE(""https://docs.google.com/spreadsheets/d/1jkqa6GXxSacMcY1eN8AHjMNJ_7dDXMJ"&amp;"VRLDlaFSOdPM/edit?usp=sharing"",""ตราด!I292"")+IMPORTRANGE(""https://docs.google.com/spreadsheets/d/18hSgUJ3VwClqi_qtULmmW3cLr0oe3OKaSYoKzdpTsYQ/edit?usp=sharing"",""นครนายก!I292"")+IMPORTRANGE(""https://docs.google.com/spreadsheets/d/1YTZo6WM2dQ6Ix6FSdnL"&amp;"5P7uVnVKu40sxZu975tgG10E/edit?usp=sharing"",""นครปฐม!I292"")+IMPORTRANGE(""https://docs.google.com/spreadsheets/d/1OYoGg4WDg5RIzwGeB10padOxJF9E_Vljuvvct_M7RDo/edit?usp=sharing"",""ปทุมธานี!I292"")+IMPORTRANGE(""https://docs.google.com/spreadsheets/d/1GbCI"&amp;"E4D4wk9FUozzqk7SxfDMxDVBwVmI5zcaVUSzKAc/edit?usp=sharing"",""ประจวบคีรีขันธ์!I292"")+IMPORTRANGE(""https://docs.google.com/spreadsheets/d/1vVf6wykvW_lAyu7Yo9L4hUTqHqIeP_qcVuxCtosJEbg/edit?usp=sharing"",""ปราจีนบุรี!I292"")+IMPORTRANGE(""https://docs.googl"&amp;"e.com/spreadsheets/d/1BIDqLLg5jk3v59G8NlR8rk5xfQDKne0sAvZHSj7TI6I/edit?usp=sharing"",""พระนครศรีอยุธยา!I292"")+IMPORTRANGE(""https://docs.google.com/spreadsheets/d/1YXvxf8Yu6_rV4hTBrwMqAcAnv6DfhUxh5emyM3CJp_w/edit?usp=sharing"",""เพชรบุรี!I292"")+IMPORTRA"&amp;"NGE(""https://docs.google.com/spreadsheets/d/19KBlQQs7uwvsao6t2n-KvW3Ax8J8uRRfZPq1zPbXgKc/edit?usp=sharing"",""ระยอง!I292"")+IMPORTRANGE(""https://docs.google.com/spreadsheets/d/1jQ6P4QcrGM89YfqcC_PxOHGCMq5ezhucwJd8ci-NHng/edit?usp=sharing"",""ราชบุรี!I29"&amp;"2"")+IMPORTRANGE(""https://docs.google.com/spreadsheets/d/1lufeA2cfFqM-elVq2hznhDzC6Pr7wkJ9ZG_sYNGCMCU/edit?usp=sharing"",""ลพบุรี!I292"")+IMPORTRANGE(""https://docs.google.com/spreadsheets/d/10oOiF7loTyfsTkbd4MpaIm0HQ9SwB7IYHdIUvt-U1Uc/edit?usp=sharing"""&amp;",""สระแก้ว!I292"")+IMPORTRANGE(""https://docs.google.com/spreadsheets/d/1xmPlrr1QbdSIKvl1dWUl9K4PjAfSL9oeMr_37QVzcxc/edit?usp=sharing"",""สระบุรี!I292"")+IMPORTRANGE(""https://docs.google.com/spreadsheets/d/1j51vR6CYVGhABJpv6tkstgok82RLpXieLzW1yOY5rHw/edi"&amp;"t?usp=sharing"",""สิงห์บุรี!I292"")+IMPORTRANGE(""https://docs.google.com/spreadsheets/d/1H1EalTWKUSzO4Z1-1CwzoDUaVffgrThEBe2sl74kKG0/edit?usp=sharing"",""สุพรรณบุรี!I292"")+IMPORTRANGE(""https://docs.google.com/spreadsheets/d/1BmIruG_sIrJLYao_Pdr7zVArWsf"&amp;"oBt2692TMi6x_854/edit?usp=sharing"",""อ่างทอง!I292"")"),100)</f>
        <v>100</v>
      </c>
      <c r="J292" s="182">
        <f ca="1">IFERROR(__xludf.DUMMYFUNCTION("IMPORTRANGE(""https://docs.google.com/spreadsheets/d/13wPX838HrBrQMCywv1BsuMkt4PEKTChp52zj44s2izQ/edit?usp=sharing"",""กาญจนบุรี!J292"")+IMPORTRANGE(""https://docs.google.com/spreadsheets/d/1ddFKvqj1W1NEiWytbGlB1zMx_ykJDVtmfEQ-6-lIUBA/edit?usp=sharing"","&amp;"""จันทบุรี!J292"")+IMPORTRANGE(""https://docs.google.com/spreadsheets/d/1T1PQvRODqOBZk8BRht_U031fIS1beLA0Ub2CEytj2q0/edit?usp=sharing"",""ฉะเชิงเทรา!J292"")+IMPORTRANGE(""https://docs.google.com/spreadsheets/d/11tr1B-Bhyr79v2bkwVh5h_fR-PStkgjlZtkrZpYurG0/"&amp;"edit?usp=sharing"",""ชลบุรี!J292"")+IMPORTRANGE(""https://docs.google.com/spreadsheets/d/1hh-FVnSX0vozXhGluamEcS54Dw9_zqW0N7qJUWgJ0Sw/edit?usp=sharing"",""ชัยนาท!J292"")+IMPORTRANGE(""https://docs.google.com/spreadsheets/d/1jkqa6GXxSacMcY1eN8AHjMNJ_7dDXMJ"&amp;"VRLDlaFSOdPM/edit?usp=sharing"",""ตราด!J292"")+IMPORTRANGE(""https://docs.google.com/spreadsheets/d/18hSgUJ3VwClqi_qtULmmW3cLr0oe3OKaSYoKzdpTsYQ/edit?usp=sharing"",""นครนายก!J292"")+IMPORTRANGE(""https://docs.google.com/spreadsheets/d/1YTZo6WM2dQ6Ix6FSdnL"&amp;"5P7uVnVKu40sxZu975tgG10E/edit?usp=sharing"",""นครปฐม!J292"")+IMPORTRANGE(""https://docs.google.com/spreadsheets/d/1OYoGg4WDg5RIzwGeB10padOxJF9E_Vljuvvct_M7RDo/edit?usp=sharing"",""ปทุมธานี!J292"")+IMPORTRANGE(""https://docs.google.com/spreadsheets/d/1GbCI"&amp;"E4D4wk9FUozzqk7SxfDMxDVBwVmI5zcaVUSzKAc/edit?usp=sharing"",""ประจวบคีรีขันธ์!J292"")+IMPORTRANGE(""https://docs.google.com/spreadsheets/d/1vVf6wykvW_lAyu7Yo9L4hUTqHqIeP_qcVuxCtosJEbg/edit?usp=sharing"",""ปราจีนบุรี!J292"")+IMPORTRANGE(""https://docs.googl"&amp;"e.com/spreadsheets/d/1BIDqLLg5jk3v59G8NlR8rk5xfQDKne0sAvZHSj7TI6I/edit?usp=sharing"",""พระนครศรีอยุธยา!J292"")+IMPORTRANGE(""https://docs.google.com/spreadsheets/d/1YXvxf8Yu6_rV4hTBrwMqAcAnv6DfhUxh5emyM3CJp_w/edit?usp=sharing"",""เพชรบุรี!J292"")+IMPORTRA"&amp;"NGE(""https://docs.google.com/spreadsheets/d/19KBlQQs7uwvsao6t2n-KvW3Ax8J8uRRfZPq1zPbXgKc/edit?usp=sharing"",""ระยอง!J292"")+IMPORTRANGE(""https://docs.google.com/spreadsheets/d/1jQ6P4QcrGM89YfqcC_PxOHGCMq5ezhucwJd8ci-NHng/edit?usp=sharing"",""ราชบุรี!J29"&amp;"2"")+IMPORTRANGE(""https://docs.google.com/spreadsheets/d/1lufeA2cfFqM-elVq2hznhDzC6Pr7wkJ9ZG_sYNGCMCU/edit?usp=sharing"",""ลพบุรี!J292"")+IMPORTRANGE(""https://docs.google.com/spreadsheets/d/10oOiF7loTyfsTkbd4MpaIm0HQ9SwB7IYHdIUvt-U1Uc/edit?usp=sharing"""&amp;",""สระแก้ว!J292"")+IMPORTRANGE(""https://docs.google.com/spreadsheets/d/1xmPlrr1QbdSIKvl1dWUl9K4PjAfSL9oeMr_37QVzcxc/edit?usp=sharing"",""สระบุรี!J292"")+IMPORTRANGE(""https://docs.google.com/spreadsheets/d/1j51vR6CYVGhABJpv6tkstgok82RLpXieLzW1yOY5rHw/edi"&amp;"t?usp=sharing"",""สิงห์บุรี!J292"")+IMPORTRANGE(""https://docs.google.com/spreadsheets/d/1H1EalTWKUSzO4Z1-1CwzoDUaVffgrThEBe2sl74kKG0/edit?usp=sharing"",""สุพรรณบุรี!J292"")+IMPORTRANGE(""https://docs.google.com/spreadsheets/d/1BmIruG_sIrJLYao_Pdr7zVArWsf"&amp;"oBt2692TMi6x_854/edit?usp=sharing"",""อ่างทอง!J292"")"),0)</f>
        <v>0</v>
      </c>
      <c r="K292" s="183">
        <f t="shared" ref="K292:K293" ca="1" si="125">IF(I292&gt;0,J292*100/I292,0)</f>
        <v>0</v>
      </c>
      <c r="L292" s="165"/>
      <c r="M292" s="165"/>
      <c r="N292" s="165"/>
      <c r="O292" s="165"/>
      <c r="P292" s="165"/>
    </row>
    <row r="293" spans="1:16" ht="19.5" x14ac:dyDescent="0.3">
      <c r="A293" s="167"/>
      <c r="B293" s="168"/>
      <c r="C293" s="168"/>
      <c r="D293" s="179" t="s">
        <v>114</v>
      </c>
      <c r="E293" s="168"/>
      <c r="F293" s="174"/>
      <c r="G293" s="172"/>
      <c r="H293" s="175" t="s">
        <v>33</v>
      </c>
      <c r="I293" s="176">
        <f ca="1">IFERROR(__xludf.DUMMYFUNCTION("IMPORTRANGE(""https://docs.google.com/spreadsheets/d/13wPX838HrBrQMCywv1BsuMkt4PEKTChp52zj44s2izQ/edit?usp=sharing"",""กาญจนบุรี!I293"")+IMPORTRANGE(""https://docs.google.com/spreadsheets/d/1ddFKvqj1W1NEiWytbGlB1zMx_ykJDVtmfEQ-6-lIUBA/edit?usp=sharing"","&amp;"""จันทบุรี!I293"")+IMPORTRANGE(""https://docs.google.com/spreadsheets/d/1T1PQvRODqOBZk8BRht_U031fIS1beLA0Ub2CEytj2q0/edit?usp=sharing"",""ฉะเชิงเทรา!I293"")+IMPORTRANGE(""https://docs.google.com/spreadsheets/d/11tr1B-Bhyr79v2bkwVh5h_fR-PStkgjlZtkrZpYurG0/"&amp;"edit?usp=sharing"",""ชลบุรี!I293"")+IMPORTRANGE(""https://docs.google.com/spreadsheets/d/1hh-FVnSX0vozXhGluamEcS54Dw9_zqW0N7qJUWgJ0Sw/edit?usp=sharing"",""ชัยนาท!I293"")+IMPORTRANGE(""https://docs.google.com/spreadsheets/d/1jkqa6GXxSacMcY1eN8AHjMNJ_7dDXMJ"&amp;"VRLDlaFSOdPM/edit?usp=sharing"",""ตราด!I293"")+IMPORTRANGE(""https://docs.google.com/spreadsheets/d/18hSgUJ3VwClqi_qtULmmW3cLr0oe3OKaSYoKzdpTsYQ/edit?usp=sharing"",""นครนายก!I293"")+IMPORTRANGE(""https://docs.google.com/spreadsheets/d/1YTZo6WM2dQ6Ix6FSdnL"&amp;"5P7uVnVKu40sxZu975tgG10E/edit?usp=sharing"",""นครปฐม!I293"")+IMPORTRANGE(""https://docs.google.com/spreadsheets/d/1OYoGg4WDg5RIzwGeB10padOxJF9E_Vljuvvct_M7RDo/edit?usp=sharing"",""ปทุมธานี!I293"")+IMPORTRANGE(""https://docs.google.com/spreadsheets/d/1GbCI"&amp;"E4D4wk9FUozzqk7SxfDMxDVBwVmI5zcaVUSzKAc/edit?usp=sharing"",""ประจวบคีรีขันธ์!I293"")+IMPORTRANGE(""https://docs.google.com/spreadsheets/d/1vVf6wykvW_lAyu7Yo9L4hUTqHqIeP_qcVuxCtosJEbg/edit?usp=sharing"",""ปราจีนบุรี!I293"")+IMPORTRANGE(""https://docs.googl"&amp;"e.com/spreadsheets/d/1BIDqLLg5jk3v59G8NlR8rk5xfQDKne0sAvZHSj7TI6I/edit?usp=sharing"",""พระนครศรีอยุธยา!I293"")+IMPORTRANGE(""https://docs.google.com/spreadsheets/d/1YXvxf8Yu6_rV4hTBrwMqAcAnv6DfhUxh5emyM3CJp_w/edit?usp=sharing"",""เพชรบุรี!I293"")+IMPORTRA"&amp;"NGE(""https://docs.google.com/spreadsheets/d/19KBlQQs7uwvsao6t2n-KvW3Ax8J8uRRfZPq1zPbXgKc/edit?usp=sharing"",""ระยอง!I293"")+IMPORTRANGE(""https://docs.google.com/spreadsheets/d/1jQ6P4QcrGM89YfqcC_PxOHGCMq5ezhucwJd8ci-NHng/edit?usp=sharing"",""ราชบุรี!I29"&amp;"3"")+IMPORTRANGE(""https://docs.google.com/spreadsheets/d/1lufeA2cfFqM-elVq2hznhDzC6Pr7wkJ9ZG_sYNGCMCU/edit?usp=sharing"",""ลพบุรี!I293"")+IMPORTRANGE(""https://docs.google.com/spreadsheets/d/10oOiF7loTyfsTkbd4MpaIm0HQ9SwB7IYHdIUvt-U1Uc/edit?usp=sharing"""&amp;",""สระแก้ว!I293"")+IMPORTRANGE(""https://docs.google.com/spreadsheets/d/1xmPlrr1QbdSIKvl1dWUl9K4PjAfSL9oeMr_37QVzcxc/edit?usp=sharing"",""สระบุรี!I293"")+IMPORTRANGE(""https://docs.google.com/spreadsheets/d/1j51vR6CYVGhABJpv6tkstgok82RLpXieLzW1yOY5rHw/edi"&amp;"t?usp=sharing"",""สิงห์บุรี!I293"")+IMPORTRANGE(""https://docs.google.com/spreadsheets/d/1H1EalTWKUSzO4Z1-1CwzoDUaVffgrThEBe2sl74kKG0/edit?usp=sharing"",""สุพรรณบุรี!I293"")+IMPORTRANGE(""https://docs.google.com/spreadsheets/d/1BmIruG_sIrJLYao_Pdr7zVArWsf"&amp;"oBt2692TMi6x_854/edit?usp=sharing"",""อ่างทอง!I293"")"),10)</f>
        <v>10</v>
      </c>
      <c r="J293" s="176">
        <f ca="1">IFERROR(__xludf.DUMMYFUNCTION("IMPORTRANGE(""https://docs.google.com/spreadsheets/d/13wPX838HrBrQMCywv1BsuMkt4PEKTChp52zj44s2izQ/edit?usp=sharing"",""กาญจนบุรี!J293"")+IMPORTRANGE(""https://docs.google.com/spreadsheets/d/1ddFKvqj1W1NEiWytbGlB1zMx_ykJDVtmfEQ-6-lIUBA/edit?usp=sharing"","&amp;"""จันทบุรี!J293"")+IMPORTRANGE(""https://docs.google.com/spreadsheets/d/1T1PQvRODqOBZk8BRht_U031fIS1beLA0Ub2CEytj2q0/edit?usp=sharing"",""ฉะเชิงเทรา!J293"")+IMPORTRANGE(""https://docs.google.com/spreadsheets/d/11tr1B-Bhyr79v2bkwVh5h_fR-PStkgjlZtkrZpYurG0/"&amp;"edit?usp=sharing"",""ชลบุรี!J293"")+IMPORTRANGE(""https://docs.google.com/spreadsheets/d/1hh-FVnSX0vozXhGluamEcS54Dw9_zqW0N7qJUWgJ0Sw/edit?usp=sharing"",""ชัยนาท!J293"")+IMPORTRANGE(""https://docs.google.com/spreadsheets/d/1jkqa6GXxSacMcY1eN8AHjMNJ_7dDXMJ"&amp;"VRLDlaFSOdPM/edit?usp=sharing"",""ตราด!J293"")+IMPORTRANGE(""https://docs.google.com/spreadsheets/d/18hSgUJ3VwClqi_qtULmmW3cLr0oe3OKaSYoKzdpTsYQ/edit?usp=sharing"",""นครนายก!J293"")+IMPORTRANGE(""https://docs.google.com/spreadsheets/d/1YTZo6WM2dQ6Ix6FSdnL"&amp;"5P7uVnVKu40sxZu975tgG10E/edit?usp=sharing"",""นครปฐม!J293"")+IMPORTRANGE(""https://docs.google.com/spreadsheets/d/1OYoGg4WDg5RIzwGeB10padOxJF9E_Vljuvvct_M7RDo/edit?usp=sharing"",""ปทุมธานี!J293"")+IMPORTRANGE(""https://docs.google.com/spreadsheets/d/1GbCI"&amp;"E4D4wk9FUozzqk7SxfDMxDVBwVmI5zcaVUSzKAc/edit?usp=sharing"",""ประจวบคีรีขันธ์!J293"")+IMPORTRANGE(""https://docs.google.com/spreadsheets/d/1vVf6wykvW_lAyu7Yo9L4hUTqHqIeP_qcVuxCtosJEbg/edit?usp=sharing"",""ปราจีนบุรี!J293"")+IMPORTRANGE(""https://docs.googl"&amp;"e.com/spreadsheets/d/1BIDqLLg5jk3v59G8NlR8rk5xfQDKne0sAvZHSj7TI6I/edit?usp=sharing"",""พระนครศรีอยุธยา!J293"")+IMPORTRANGE(""https://docs.google.com/spreadsheets/d/1YXvxf8Yu6_rV4hTBrwMqAcAnv6DfhUxh5emyM3CJp_w/edit?usp=sharing"",""เพชรบุรี!J293"")+IMPORTRA"&amp;"NGE(""https://docs.google.com/spreadsheets/d/19KBlQQs7uwvsao6t2n-KvW3Ax8J8uRRfZPq1zPbXgKc/edit?usp=sharing"",""ระยอง!J293"")+IMPORTRANGE(""https://docs.google.com/spreadsheets/d/1jQ6P4QcrGM89YfqcC_PxOHGCMq5ezhucwJd8ci-NHng/edit?usp=sharing"",""ราชบุรี!J29"&amp;"3"")+IMPORTRANGE(""https://docs.google.com/spreadsheets/d/1lufeA2cfFqM-elVq2hznhDzC6Pr7wkJ9ZG_sYNGCMCU/edit?usp=sharing"",""ลพบุรี!J293"")+IMPORTRANGE(""https://docs.google.com/spreadsheets/d/10oOiF7loTyfsTkbd4MpaIm0HQ9SwB7IYHdIUvt-U1Uc/edit?usp=sharing"""&amp;",""สระแก้ว!J293"")+IMPORTRANGE(""https://docs.google.com/spreadsheets/d/1xmPlrr1QbdSIKvl1dWUl9K4PjAfSL9oeMr_37QVzcxc/edit?usp=sharing"",""สระบุรี!J293"")+IMPORTRANGE(""https://docs.google.com/spreadsheets/d/1j51vR6CYVGhABJpv6tkstgok82RLpXieLzW1yOY5rHw/edi"&amp;"t?usp=sharing"",""สิงห์บุรี!J293"")+IMPORTRANGE(""https://docs.google.com/spreadsheets/d/1H1EalTWKUSzO4Z1-1CwzoDUaVffgrThEBe2sl74kKG0/edit?usp=sharing"",""สุพรรณบุรี!J293"")+IMPORTRANGE(""https://docs.google.com/spreadsheets/d/1BmIruG_sIrJLYao_Pdr7zVArWsf"&amp;"oBt2692TMi6x_854/edit?usp=sharing"",""อ่างทอง!J293"")"),0)</f>
        <v>0</v>
      </c>
      <c r="K293" s="177">
        <f t="shared" ca="1" si="125"/>
        <v>0</v>
      </c>
      <c r="L293" s="165"/>
      <c r="M293" s="165"/>
      <c r="N293" s="165"/>
      <c r="O293" s="165"/>
      <c r="P293" s="165"/>
    </row>
    <row r="294" spans="1:16" ht="19.5" x14ac:dyDescent="0.3">
      <c r="A294" s="167"/>
      <c r="B294" s="168"/>
      <c r="C294" s="168"/>
      <c r="D294" s="174"/>
      <c r="E294" s="370" t="s">
        <v>115</v>
      </c>
      <c r="F294" s="174"/>
      <c r="G294" s="172"/>
      <c r="H294" s="172"/>
      <c r="I294" s="164"/>
      <c r="J294" s="57"/>
      <c r="K294" s="165"/>
      <c r="L294" s="165"/>
      <c r="M294" s="165"/>
      <c r="N294" s="165"/>
      <c r="O294" s="165"/>
      <c r="P294" s="165"/>
    </row>
    <row r="295" spans="1:16" ht="19.5" x14ac:dyDescent="0.3">
      <c r="A295" s="167"/>
      <c r="B295" s="168"/>
      <c r="C295" s="168"/>
      <c r="D295" s="174"/>
      <c r="E295" s="195" t="s">
        <v>116</v>
      </c>
      <c r="F295" s="174"/>
      <c r="G295" s="172"/>
      <c r="H295" s="180" t="s">
        <v>33</v>
      </c>
      <c r="I295" s="184">
        <f ca="1">IFERROR(__xludf.DUMMYFUNCTION("IMPORTRANGE(""https://docs.google.com/spreadsheets/d/13wPX838HrBrQMCywv1BsuMkt4PEKTChp52zj44s2izQ/edit?usp=sharing"",""กาญจนบุรี!I295"")+IMPORTRANGE(""https://docs.google.com/spreadsheets/d/1ddFKvqj1W1NEiWytbGlB1zMx_ykJDVtmfEQ-6-lIUBA/edit?usp=sharing"","&amp;"""จันทบุรี!I295"")+IMPORTRANGE(""https://docs.google.com/spreadsheets/d/1T1PQvRODqOBZk8BRht_U031fIS1beLA0Ub2CEytj2q0/edit?usp=sharing"",""ฉะเชิงเทรา!I295"")+IMPORTRANGE(""https://docs.google.com/spreadsheets/d/11tr1B-Bhyr79v2bkwVh5h_fR-PStkgjlZtkrZpYurG0/"&amp;"edit?usp=sharing"",""ชลบุรี!I295"")+IMPORTRANGE(""https://docs.google.com/spreadsheets/d/1hh-FVnSX0vozXhGluamEcS54Dw9_zqW0N7qJUWgJ0Sw/edit?usp=sharing"",""ชัยนาท!I295"")+IMPORTRANGE(""https://docs.google.com/spreadsheets/d/1jkqa6GXxSacMcY1eN8AHjMNJ_7dDXMJ"&amp;"VRLDlaFSOdPM/edit?usp=sharing"",""ตราด!I295"")+IMPORTRANGE(""https://docs.google.com/spreadsheets/d/18hSgUJ3VwClqi_qtULmmW3cLr0oe3OKaSYoKzdpTsYQ/edit?usp=sharing"",""นครนายก!I295"")+IMPORTRANGE(""https://docs.google.com/spreadsheets/d/1YTZo6WM2dQ6Ix6FSdnL"&amp;"5P7uVnVKu40sxZu975tgG10E/edit?usp=sharing"",""นครปฐม!I295"")+IMPORTRANGE(""https://docs.google.com/spreadsheets/d/1OYoGg4WDg5RIzwGeB10padOxJF9E_Vljuvvct_M7RDo/edit?usp=sharing"",""ปทุมธานี!I295"")+IMPORTRANGE(""https://docs.google.com/spreadsheets/d/1GbCI"&amp;"E4D4wk9FUozzqk7SxfDMxDVBwVmI5zcaVUSzKAc/edit?usp=sharing"",""ประจวบคีรีขันธ์!I295"")+IMPORTRANGE(""https://docs.google.com/spreadsheets/d/1vVf6wykvW_lAyu7Yo9L4hUTqHqIeP_qcVuxCtosJEbg/edit?usp=sharing"",""ปราจีนบุรี!I295"")+IMPORTRANGE(""https://docs.googl"&amp;"e.com/spreadsheets/d/1BIDqLLg5jk3v59G8NlR8rk5xfQDKne0sAvZHSj7TI6I/edit?usp=sharing"",""พระนครศรีอยุธยา!I295"")+IMPORTRANGE(""https://docs.google.com/spreadsheets/d/1YXvxf8Yu6_rV4hTBrwMqAcAnv6DfhUxh5emyM3CJp_w/edit?usp=sharing"",""เพชรบุรี!I295"")+IMPORTRA"&amp;"NGE(""https://docs.google.com/spreadsheets/d/19KBlQQs7uwvsao6t2n-KvW3Ax8J8uRRfZPq1zPbXgKc/edit?usp=sharing"",""ระยอง!I295"")+IMPORTRANGE(""https://docs.google.com/spreadsheets/d/1jQ6P4QcrGM89YfqcC_PxOHGCMq5ezhucwJd8ci-NHng/edit?usp=sharing"",""ราชบุรี!I29"&amp;"5"")+IMPORTRANGE(""https://docs.google.com/spreadsheets/d/1lufeA2cfFqM-elVq2hznhDzC6Pr7wkJ9ZG_sYNGCMCU/edit?usp=sharing"",""ลพบุรี!I295"")+IMPORTRANGE(""https://docs.google.com/spreadsheets/d/10oOiF7loTyfsTkbd4MpaIm0HQ9SwB7IYHdIUvt-U1Uc/edit?usp=sharing"""&amp;",""สระแก้ว!I295"")+IMPORTRANGE(""https://docs.google.com/spreadsheets/d/1xmPlrr1QbdSIKvl1dWUl9K4PjAfSL9oeMr_37QVzcxc/edit?usp=sharing"",""สระบุรี!I295"")+IMPORTRANGE(""https://docs.google.com/spreadsheets/d/1j51vR6CYVGhABJpv6tkstgok82RLpXieLzW1yOY5rHw/edi"&amp;"t?usp=sharing"",""สิงห์บุรี!I295"")+IMPORTRANGE(""https://docs.google.com/spreadsheets/d/1H1EalTWKUSzO4Z1-1CwzoDUaVffgrThEBe2sl74kKG0/edit?usp=sharing"",""สุพรรณบุรี!I295"")+IMPORTRANGE(""https://docs.google.com/spreadsheets/d/1BmIruG_sIrJLYao_Pdr7zVArWsf"&amp;"oBt2692TMi6x_854/edit?usp=sharing"",""อ่างทอง!I295"")"),10)</f>
        <v>10</v>
      </c>
      <c r="J295" s="182">
        <f ca="1">IFERROR(__xludf.DUMMYFUNCTION("IMPORTRANGE(""https://docs.google.com/spreadsheets/d/13wPX838HrBrQMCywv1BsuMkt4PEKTChp52zj44s2izQ/edit?usp=sharing"",""กาญจนบุรี!J295"")+IMPORTRANGE(""https://docs.google.com/spreadsheets/d/1ddFKvqj1W1NEiWytbGlB1zMx_ykJDVtmfEQ-6-lIUBA/edit?usp=sharing"","&amp;"""จันทบุรี!J295"")+IMPORTRANGE(""https://docs.google.com/spreadsheets/d/1T1PQvRODqOBZk8BRht_U031fIS1beLA0Ub2CEytj2q0/edit?usp=sharing"",""ฉะเชิงเทรา!J295"")+IMPORTRANGE(""https://docs.google.com/spreadsheets/d/11tr1B-Bhyr79v2bkwVh5h_fR-PStkgjlZtkrZpYurG0/"&amp;"edit?usp=sharing"",""ชลบุรี!J295"")+IMPORTRANGE(""https://docs.google.com/spreadsheets/d/1hh-FVnSX0vozXhGluamEcS54Dw9_zqW0N7qJUWgJ0Sw/edit?usp=sharing"",""ชัยนาท!J295"")+IMPORTRANGE(""https://docs.google.com/spreadsheets/d/1jkqa6GXxSacMcY1eN8AHjMNJ_7dDXMJ"&amp;"VRLDlaFSOdPM/edit?usp=sharing"",""ตราด!J295"")+IMPORTRANGE(""https://docs.google.com/spreadsheets/d/18hSgUJ3VwClqi_qtULmmW3cLr0oe3OKaSYoKzdpTsYQ/edit?usp=sharing"",""นครนายก!J295"")+IMPORTRANGE(""https://docs.google.com/spreadsheets/d/1YTZo6WM2dQ6Ix6FSdnL"&amp;"5P7uVnVKu40sxZu975tgG10E/edit?usp=sharing"",""นครปฐม!J295"")+IMPORTRANGE(""https://docs.google.com/spreadsheets/d/1OYoGg4WDg5RIzwGeB10padOxJF9E_Vljuvvct_M7RDo/edit?usp=sharing"",""ปทุมธานี!J295"")+IMPORTRANGE(""https://docs.google.com/spreadsheets/d/1GbCI"&amp;"E4D4wk9FUozzqk7SxfDMxDVBwVmI5zcaVUSzKAc/edit?usp=sharing"",""ประจวบคีรีขันธ์!J295"")+IMPORTRANGE(""https://docs.google.com/spreadsheets/d/1vVf6wykvW_lAyu7Yo9L4hUTqHqIeP_qcVuxCtosJEbg/edit?usp=sharing"",""ปราจีนบุรี!J295"")+IMPORTRANGE(""https://docs.googl"&amp;"e.com/spreadsheets/d/1BIDqLLg5jk3v59G8NlR8rk5xfQDKne0sAvZHSj7TI6I/edit?usp=sharing"",""พระนครศรีอยุธยา!J295"")+IMPORTRANGE(""https://docs.google.com/spreadsheets/d/1YXvxf8Yu6_rV4hTBrwMqAcAnv6DfhUxh5emyM3CJp_w/edit?usp=sharing"",""เพชรบุรี!J295"")+IMPORTRA"&amp;"NGE(""https://docs.google.com/spreadsheets/d/19KBlQQs7uwvsao6t2n-KvW3Ax8J8uRRfZPq1zPbXgKc/edit?usp=sharing"",""ระยอง!J295"")+IMPORTRANGE(""https://docs.google.com/spreadsheets/d/1jQ6P4QcrGM89YfqcC_PxOHGCMq5ezhucwJd8ci-NHng/edit?usp=sharing"",""ราชบุรี!J29"&amp;"5"")+IMPORTRANGE(""https://docs.google.com/spreadsheets/d/1lufeA2cfFqM-elVq2hznhDzC6Pr7wkJ9ZG_sYNGCMCU/edit?usp=sharing"",""ลพบุรี!J295"")+IMPORTRANGE(""https://docs.google.com/spreadsheets/d/10oOiF7loTyfsTkbd4MpaIm0HQ9SwB7IYHdIUvt-U1Uc/edit?usp=sharing"""&amp;",""สระแก้ว!J295"")+IMPORTRANGE(""https://docs.google.com/spreadsheets/d/1xmPlrr1QbdSIKvl1dWUl9K4PjAfSL9oeMr_37QVzcxc/edit?usp=sharing"",""สระบุรี!J295"")+IMPORTRANGE(""https://docs.google.com/spreadsheets/d/1j51vR6CYVGhABJpv6tkstgok82RLpXieLzW1yOY5rHw/edi"&amp;"t?usp=sharing"",""สิงห์บุรี!J295"")+IMPORTRANGE(""https://docs.google.com/spreadsheets/d/1H1EalTWKUSzO4Z1-1CwzoDUaVffgrThEBe2sl74kKG0/edit?usp=sharing"",""สุพรรณบุรี!J295"")+IMPORTRANGE(""https://docs.google.com/spreadsheets/d/1BmIruG_sIrJLYao_Pdr7zVArWsf"&amp;"oBt2692TMi6x_854/edit?usp=sharing"",""อ่างทอง!J295"")"),0)</f>
        <v>0</v>
      </c>
      <c r="K295" s="183">
        <f t="shared" ref="K295:K296" ca="1" si="126">IF(I295&gt;0,J295*100/I295,0)</f>
        <v>0</v>
      </c>
      <c r="L295" s="165"/>
      <c r="M295" s="165"/>
      <c r="N295" s="165"/>
      <c r="O295" s="165"/>
      <c r="P295" s="165"/>
    </row>
    <row r="296" spans="1:16" ht="19.5" x14ac:dyDescent="0.3">
      <c r="A296" s="167"/>
      <c r="B296" s="168"/>
      <c r="C296" s="168"/>
      <c r="D296" s="174"/>
      <c r="E296" s="179" t="s">
        <v>117</v>
      </c>
      <c r="F296" s="174"/>
      <c r="G296" s="172"/>
      <c r="H296" s="180" t="s">
        <v>33</v>
      </c>
      <c r="I296" s="184">
        <f ca="1">IFERROR(__xludf.DUMMYFUNCTION("IMPORTRANGE(""https://docs.google.com/spreadsheets/d/13wPX838HrBrQMCywv1BsuMkt4PEKTChp52zj44s2izQ/edit?usp=sharing"",""กาญจนบุรี!I296"")+IMPORTRANGE(""https://docs.google.com/spreadsheets/d/1ddFKvqj1W1NEiWytbGlB1zMx_ykJDVtmfEQ-6-lIUBA/edit?usp=sharing"","&amp;"""จันทบุรี!I296"")+IMPORTRANGE(""https://docs.google.com/spreadsheets/d/1T1PQvRODqOBZk8BRht_U031fIS1beLA0Ub2CEytj2q0/edit?usp=sharing"",""ฉะเชิงเทรา!I296"")+IMPORTRANGE(""https://docs.google.com/spreadsheets/d/11tr1B-Bhyr79v2bkwVh5h_fR-PStkgjlZtkrZpYurG0/"&amp;"edit?usp=sharing"",""ชลบุรี!I296"")+IMPORTRANGE(""https://docs.google.com/spreadsheets/d/1hh-FVnSX0vozXhGluamEcS54Dw9_zqW0N7qJUWgJ0Sw/edit?usp=sharing"",""ชัยนาท!I296"")+IMPORTRANGE(""https://docs.google.com/spreadsheets/d/1jkqa6GXxSacMcY1eN8AHjMNJ_7dDXMJ"&amp;"VRLDlaFSOdPM/edit?usp=sharing"",""ตราด!I296"")+IMPORTRANGE(""https://docs.google.com/spreadsheets/d/18hSgUJ3VwClqi_qtULmmW3cLr0oe3OKaSYoKzdpTsYQ/edit?usp=sharing"",""นครนายก!I296"")+IMPORTRANGE(""https://docs.google.com/spreadsheets/d/1YTZo6WM2dQ6Ix6FSdnL"&amp;"5P7uVnVKu40sxZu975tgG10E/edit?usp=sharing"",""นครปฐม!I296"")+IMPORTRANGE(""https://docs.google.com/spreadsheets/d/1OYoGg4WDg5RIzwGeB10padOxJF9E_Vljuvvct_M7RDo/edit?usp=sharing"",""ปทุมธานี!I296"")+IMPORTRANGE(""https://docs.google.com/spreadsheets/d/1GbCI"&amp;"E4D4wk9FUozzqk7SxfDMxDVBwVmI5zcaVUSzKAc/edit?usp=sharing"",""ประจวบคีรีขันธ์!I296"")+IMPORTRANGE(""https://docs.google.com/spreadsheets/d/1vVf6wykvW_lAyu7Yo9L4hUTqHqIeP_qcVuxCtosJEbg/edit?usp=sharing"",""ปราจีนบุรี!I296"")+IMPORTRANGE(""https://docs.googl"&amp;"e.com/spreadsheets/d/1BIDqLLg5jk3v59G8NlR8rk5xfQDKne0sAvZHSj7TI6I/edit?usp=sharing"",""พระนครศรีอยุธยา!I296"")+IMPORTRANGE(""https://docs.google.com/spreadsheets/d/1YXvxf8Yu6_rV4hTBrwMqAcAnv6DfhUxh5emyM3CJp_w/edit?usp=sharing"",""เพชรบุรี!I296"")+IMPORTRA"&amp;"NGE(""https://docs.google.com/spreadsheets/d/19KBlQQs7uwvsao6t2n-KvW3Ax8J8uRRfZPq1zPbXgKc/edit?usp=sharing"",""ระยอง!I296"")+IMPORTRANGE(""https://docs.google.com/spreadsheets/d/1jQ6P4QcrGM89YfqcC_PxOHGCMq5ezhucwJd8ci-NHng/edit?usp=sharing"",""ราชบุรี!I29"&amp;"6"")+IMPORTRANGE(""https://docs.google.com/spreadsheets/d/1lufeA2cfFqM-elVq2hznhDzC6Pr7wkJ9ZG_sYNGCMCU/edit?usp=sharing"",""ลพบุรี!I296"")+IMPORTRANGE(""https://docs.google.com/spreadsheets/d/10oOiF7loTyfsTkbd4MpaIm0HQ9SwB7IYHdIUvt-U1Uc/edit?usp=sharing"""&amp;",""สระแก้ว!I296"")+IMPORTRANGE(""https://docs.google.com/spreadsheets/d/1xmPlrr1QbdSIKvl1dWUl9K4PjAfSL9oeMr_37QVzcxc/edit?usp=sharing"",""สระบุรี!I296"")+IMPORTRANGE(""https://docs.google.com/spreadsheets/d/1j51vR6CYVGhABJpv6tkstgok82RLpXieLzW1yOY5rHw/edi"&amp;"t?usp=sharing"",""สิงห์บุรี!I296"")+IMPORTRANGE(""https://docs.google.com/spreadsheets/d/1H1EalTWKUSzO4Z1-1CwzoDUaVffgrThEBe2sl74kKG0/edit?usp=sharing"",""สุพรรณบุรี!I296"")+IMPORTRANGE(""https://docs.google.com/spreadsheets/d/1BmIruG_sIrJLYao_Pdr7zVArWsf"&amp;"oBt2692TMi6x_854/edit?usp=sharing"",""อ่างทอง!I296"")"),10)</f>
        <v>10</v>
      </c>
      <c r="J296" s="182">
        <f ca="1">IFERROR(__xludf.DUMMYFUNCTION("IMPORTRANGE(""https://docs.google.com/spreadsheets/d/13wPX838HrBrQMCywv1BsuMkt4PEKTChp52zj44s2izQ/edit?usp=sharing"",""กาญจนบุรี!J296"")+IMPORTRANGE(""https://docs.google.com/spreadsheets/d/1ddFKvqj1W1NEiWytbGlB1zMx_ykJDVtmfEQ-6-lIUBA/edit?usp=sharing"","&amp;"""จันทบุรี!J296"")+IMPORTRANGE(""https://docs.google.com/spreadsheets/d/1T1PQvRODqOBZk8BRht_U031fIS1beLA0Ub2CEytj2q0/edit?usp=sharing"",""ฉะเชิงเทรา!J296"")+IMPORTRANGE(""https://docs.google.com/spreadsheets/d/11tr1B-Bhyr79v2bkwVh5h_fR-PStkgjlZtkrZpYurG0/"&amp;"edit?usp=sharing"",""ชลบุรี!J296"")+IMPORTRANGE(""https://docs.google.com/spreadsheets/d/1hh-FVnSX0vozXhGluamEcS54Dw9_zqW0N7qJUWgJ0Sw/edit?usp=sharing"",""ชัยนาท!J296"")+IMPORTRANGE(""https://docs.google.com/spreadsheets/d/1jkqa6GXxSacMcY1eN8AHjMNJ_7dDXMJ"&amp;"VRLDlaFSOdPM/edit?usp=sharing"",""ตราด!J296"")+IMPORTRANGE(""https://docs.google.com/spreadsheets/d/18hSgUJ3VwClqi_qtULmmW3cLr0oe3OKaSYoKzdpTsYQ/edit?usp=sharing"",""นครนายก!J296"")+IMPORTRANGE(""https://docs.google.com/spreadsheets/d/1YTZo6WM2dQ6Ix6FSdnL"&amp;"5P7uVnVKu40sxZu975tgG10E/edit?usp=sharing"",""นครปฐม!J296"")+IMPORTRANGE(""https://docs.google.com/spreadsheets/d/1OYoGg4WDg5RIzwGeB10padOxJF9E_Vljuvvct_M7RDo/edit?usp=sharing"",""ปทุมธานี!J296"")+IMPORTRANGE(""https://docs.google.com/spreadsheets/d/1GbCI"&amp;"E4D4wk9FUozzqk7SxfDMxDVBwVmI5zcaVUSzKAc/edit?usp=sharing"",""ประจวบคีรีขันธ์!J296"")+IMPORTRANGE(""https://docs.google.com/spreadsheets/d/1vVf6wykvW_lAyu7Yo9L4hUTqHqIeP_qcVuxCtosJEbg/edit?usp=sharing"",""ปราจีนบุรี!J296"")+IMPORTRANGE(""https://docs.googl"&amp;"e.com/spreadsheets/d/1BIDqLLg5jk3v59G8NlR8rk5xfQDKne0sAvZHSj7TI6I/edit?usp=sharing"",""พระนครศรีอยุธยา!J296"")+IMPORTRANGE(""https://docs.google.com/spreadsheets/d/1YXvxf8Yu6_rV4hTBrwMqAcAnv6DfhUxh5emyM3CJp_w/edit?usp=sharing"",""เพชรบุรี!J296"")+IMPORTRA"&amp;"NGE(""https://docs.google.com/spreadsheets/d/19KBlQQs7uwvsao6t2n-KvW3Ax8J8uRRfZPq1zPbXgKc/edit?usp=sharing"",""ระยอง!J296"")+IMPORTRANGE(""https://docs.google.com/spreadsheets/d/1jQ6P4QcrGM89YfqcC_PxOHGCMq5ezhucwJd8ci-NHng/edit?usp=sharing"",""ราชบุรี!J29"&amp;"6"")+IMPORTRANGE(""https://docs.google.com/spreadsheets/d/1lufeA2cfFqM-elVq2hznhDzC6Pr7wkJ9ZG_sYNGCMCU/edit?usp=sharing"",""ลพบุรี!J296"")+IMPORTRANGE(""https://docs.google.com/spreadsheets/d/10oOiF7loTyfsTkbd4MpaIm0HQ9SwB7IYHdIUvt-U1Uc/edit?usp=sharing"""&amp;",""สระแก้ว!J296"")+IMPORTRANGE(""https://docs.google.com/spreadsheets/d/1xmPlrr1QbdSIKvl1dWUl9K4PjAfSL9oeMr_37QVzcxc/edit?usp=sharing"",""สระบุรี!J296"")+IMPORTRANGE(""https://docs.google.com/spreadsheets/d/1j51vR6CYVGhABJpv6tkstgok82RLpXieLzW1yOY5rHw/edi"&amp;"t?usp=sharing"",""สิงห์บุรี!J296"")+IMPORTRANGE(""https://docs.google.com/spreadsheets/d/1H1EalTWKUSzO4Z1-1CwzoDUaVffgrThEBe2sl74kKG0/edit?usp=sharing"",""สุพรรณบุรี!J296"")+IMPORTRANGE(""https://docs.google.com/spreadsheets/d/1BmIruG_sIrJLYao_Pdr7zVArWsf"&amp;"oBt2692TMi6x_854/edit?usp=sharing"",""อ่างทอง!J296"")"),0)</f>
        <v>0</v>
      </c>
      <c r="K296" s="183">
        <f t="shared" ca="1" si="126"/>
        <v>0</v>
      </c>
      <c r="L296" s="165"/>
      <c r="M296" s="165"/>
      <c r="N296" s="165"/>
      <c r="O296" s="165"/>
      <c r="P296" s="165"/>
    </row>
    <row r="297" spans="1:16" ht="19.5" hidden="1" x14ac:dyDescent="0.3">
      <c r="A297" s="337"/>
      <c r="B297" s="213"/>
      <c r="C297" s="213"/>
      <c r="D297" s="17"/>
      <c r="E297" s="212"/>
      <c r="F297" s="17"/>
      <c r="G297" s="20"/>
      <c r="H297" s="20"/>
      <c r="I297" s="22"/>
      <c r="J297" s="22"/>
      <c r="K297" s="23"/>
      <c r="L297" s="23"/>
      <c r="M297" s="23"/>
      <c r="N297" s="23"/>
      <c r="O297" s="23"/>
      <c r="P297" s="23"/>
    </row>
    <row r="298" spans="1:16" ht="18.75" hidden="1" x14ac:dyDescent="0.25">
      <c r="A298" s="337"/>
      <c r="B298" s="213"/>
      <c r="C298" s="213"/>
      <c r="D298" s="17"/>
      <c r="E298" s="25"/>
      <c r="F298" s="17"/>
      <c r="G298" s="20"/>
      <c r="H298" s="26"/>
      <c r="I298" s="214"/>
      <c r="J298" s="214"/>
      <c r="K298" s="27"/>
      <c r="L298" s="23"/>
      <c r="M298" s="23"/>
      <c r="N298" s="23"/>
      <c r="O298" s="23"/>
      <c r="P298" s="23"/>
    </row>
    <row r="299" spans="1:16" ht="18.75" hidden="1" x14ac:dyDescent="0.25">
      <c r="A299" s="371"/>
      <c r="B299" s="372"/>
      <c r="C299" s="372"/>
      <c r="D299" s="373"/>
      <c r="E299" s="374"/>
      <c r="F299" s="373"/>
      <c r="G299" s="375"/>
      <c r="H299" s="376"/>
      <c r="I299" s="377"/>
      <c r="J299" s="377"/>
      <c r="K299" s="378"/>
      <c r="L299" s="379"/>
      <c r="M299" s="379"/>
      <c r="N299" s="379"/>
      <c r="O299" s="379"/>
      <c r="P299" s="379"/>
    </row>
    <row r="300" spans="1:16" ht="19.5" x14ac:dyDescent="0.3">
      <c r="A300" s="380" t="s">
        <v>118</v>
      </c>
      <c r="B300" s="381"/>
      <c r="C300" s="381"/>
      <c r="D300" s="381"/>
      <c r="E300" s="382"/>
      <c r="F300" s="382"/>
      <c r="G300" s="382"/>
      <c r="H300" s="382"/>
      <c r="I300" s="383"/>
      <c r="J300" s="383"/>
      <c r="K300" s="384"/>
      <c r="L300" s="384"/>
      <c r="M300" s="384"/>
      <c r="N300" s="384"/>
      <c r="O300" s="384"/>
      <c r="P300" s="385"/>
    </row>
    <row r="301" spans="1:16" ht="19.5" x14ac:dyDescent="0.3">
      <c r="A301" s="386" t="s">
        <v>119</v>
      </c>
      <c r="B301" s="387"/>
      <c r="C301" s="387"/>
      <c r="D301" s="388"/>
      <c r="E301" s="388"/>
      <c r="F301" s="388"/>
      <c r="G301" s="389"/>
      <c r="H301" s="389"/>
      <c r="I301" s="390"/>
      <c r="J301" s="390"/>
      <c r="K301" s="391"/>
      <c r="L301" s="391"/>
      <c r="M301" s="391"/>
      <c r="N301" s="391"/>
      <c r="O301" s="391"/>
      <c r="P301" s="391"/>
    </row>
    <row r="302" spans="1:16" ht="19.5" x14ac:dyDescent="0.3">
      <c r="A302" s="392"/>
      <c r="B302" s="393" t="s">
        <v>120</v>
      </c>
      <c r="C302" s="394"/>
      <c r="D302" s="394"/>
      <c r="E302" s="394"/>
      <c r="F302" s="394"/>
      <c r="G302" s="395"/>
      <c r="H302" s="396" t="s">
        <v>33</v>
      </c>
      <c r="I302" s="397">
        <f t="shared" ref="I302:J302" ca="1" si="127">I314</f>
        <v>160</v>
      </c>
      <c r="J302" s="397">
        <f t="shared" ca="1" si="127"/>
        <v>0</v>
      </c>
      <c r="K302" s="398">
        <f ca="1">IF(I302&gt;0,J302*100/I302,0)</f>
        <v>0</v>
      </c>
      <c r="L302" s="399"/>
      <c r="M302" s="399"/>
      <c r="N302" s="399"/>
      <c r="O302" s="399"/>
      <c r="P302" s="399"/>
    </row>
    <row r="303" spans="1:16" ht="19.5" x14ac:dyDescent="0.3">
      <c r="A303" s="157"/>
      <c r="B303" s="53"/>
      <c r="C303" s="158" t="s">
        <v>16</v>
      </c>
      <c r="D303" s="159" t="s">
        <v>17</v>
      </c>
      <c r="E303" s="53"/>
      <c r="F303" s="53"/>
      <c r="G303" s="55"/>
      <c r="H303" s="160" t="s">
        <v>12</v>
      </c>
      <c r="I303" s="57"/>
      <c r="J303" s="57"/>
      <c r="K303" s="58"/>
      <c r="L303" s="161">
        <f t="shared" ref="L303:N303" ca="1" si="128">L304+L305</f>
        <v>1119100</v>
      </c>
      <c r="M303" s="161">
        <f t="shared" ca="1" si="128"/>
        <v>843700</v>
      </c>
      <c r="N303" s="161">
        <f t="shared" ca="1" si="128"/>
        <v>166421.66999999899</v>
      </c>
      <c r="O303" s="161">
        <f t="shared" ref="O303:O311" ca="1" si="129">IF(L303&gt;0,N303*100/L303,0)</f>
        <v>14.871027611473416</v>
      </c>
      <c r="P303" s="161">
        <f t="shared" ref="P303:P311" ca="1" si="130">IF(M303&gt;0,N303*100/M303,0)</f>
        <v>19.725218679625339</v>
      </c>
    </row>
    <row r="304" spans="1:16" ht="18.75" x14ac:dyDescent="0.25">
      <c r="A304" s="157"/>
      <c r="B304" s="53"/>
      <c r="C304" s="53"/>
      <c r="D304" s="53"/>
      <c r="E304" s="60" t="s">
        <v>18</v>
      </c>
      <c r="F304" s="53"/>
      <c r="G304" s="55"/>
      <c r="H304" s="162" t="s">
        <v>12</v>
      </c>
      <c r="I304" s="57"/>
      <c r="J304" s="57"/>
      <c r="K304" s="58"/>
      <c r="L304" s="59">
        <f t="shared" ref="L304:N304" ca="1" si="131">L307+L310</f>
        <v>0</v>
      </c>
      <c r="M304" s="59">
        <f t="shared" ca="1" si="131"/>
        <v>0</v>
      </c>
      <c r="N304" s="59">
        <f t="shared" ca="1" si="131"/>
        <v>0</v>
      </c>
      <c r="O304" s="59">
        <f t="shared" ca="1" si="129"/>
        <v>0</v>
      </c>
      <c r="P304" s="59">
        <f t="shared" ca="1" si="130"/>
        <v>0</v>
      </c>
    </row>
    <row r="305" spans="1:16" ht="18.75" x14ac:dyDescent="0.25">
      <c r="A305" s="157"/>
      <c r="B305" s="53"/>
      <c r="C305" s="53"/>
      <c r="D305" s="53"/>
      <c r="E305" s="60" t="s">
        <v>19</v>
      </c>
      <c r="F305" s="53"/>
      <c r="G305" s="55"/>
      <c r="H305" s="162" t="s">
        <v>12</v>
      </c>
      <c r="I305" s="57"/>
      <c r="J305" s="57"/>
      <c r="K305" s="58"/>
      <c r="L305" s="59">
        <f t="shared" ref="L305:N305" ca="1" si="132">L308+L311</f>
        <v>1119100</v>
      </c>
      <c r="M305" s="59">
        <f t="shared" ca="1" si="132"/>
        <v>843700</v>
      </c>
      <c r="N305" s="59">
        <f t="shared" ca="1" si="132"/>
        <v>166421.66999999899</v>
      </c>
      <c r="O305" s="59">
        <f t="shared" ca="1" si="129"/>
        <v>14.871027611473416</v>
      </c>
      <c r="P305" s="59">
        <f t="shared" ca="1" si="130"/>
        <v>19.725218679625339</v>
      </c>
    </row>
    <row r="306" spans="1:16" ht="18.75" x14ac:dyDescent="0.25">
      <c r="A306" s="157"/>
      <c r="B306" s="53"/>
      <c r="C306" s="53"/>
      <c r="D306" s="54" t="s">
        <v>20</v>
      </c>
      <c r="E306" s="53"/>
      <c r="F306" s="53"/>
      <c r="G306" s="55"/>
      <c r="H306" s="163" t="s">
        <v>12</v>
      </c>
      <c r="I306" s="164"/>
      <c r="J306" s="164"/>
      <c r="K306" s="165"/>
      <c r="L306" s="59">
        <f t="shared" ref="L306:N306" ca="1" si="133">L307+L308</f>
        <v>1119100</v>
      </c>
      <c r="M306" s="59">
        <f t="shared" ca="1" si="133"/>
        <v>843700</v>
      </c>
      <c r="N306" s="59">
        <f t="shared" ca="1" si="133"/>
        <v>166421.66999999899</v>
      </c>
      <c r="O306" s="59">
        <f t="shared" ca="1" si="129"/>
        <v>14.871027611473416</v>
      </c>
      <c r="P306" s="59">
        <f t="shared" ca="1" si="130"/>
        <v>19.725218679625339</v>
      </c>
    </row>
    <row r="307" spans="1:16" ht="18.75" x14ac:dyDescent="0.25">
      <c r="A307" s="157"/>
      <c r="B307" s="53"/>
      <c r="C307" s="53"/>
      <c r="D307" s="53"/>
      <c r="E307" s="60" t="s">
        <v>34</v>
      </c>
      <c r="F307" s="53"/>
      <c r="G307" s="55"/>
      <c r="H307" s="163" t="s">
        <v>12</v>
      </c>
      <c r="I307" s="164"/>
      <c r="J307" s="164"/>
      <c r="K307" s="165"/>
      <c r="L307" s="59">
        <f ca="1">IFERROR(__xludf.DUMMYFUNCTION("IMPORTRANGE(""https://docs.google.com/spreadsheets/d/13wPX838HrBrQMCywv1BsuMkt4PEKTChp52zj44s2izQ/edit?usp=sharing"",""กาญจนบุรี!L307"")+IMPORTRANGE(""https://docs.google.com/spreadsheets/d/1ddFKvqj1W1NEiWytbGlB1zMx_ykJDVtmfEQ-6-lIUBA/edit?usp=sharing"","&amp;"""จันทบุรี!L307"")+IMPORTRANGE(""https://docs.google.com/spreadsheets/d/1T1PQvRODqOBZk8BRht_U031fIS1beLA0Ub2CEytj2q0/edit?usp=sharing"",""ฉะเชิงเทรา!L307"")+IMPORTRANGE(""https://docs.google.com/spreadsheets/d/11tr1B-Bhyr79v2bkwVh5h_fR-PStkgjlZtkrZpYurG0/"&amp;"edit?usp=sharing"",""ชลบุรี!L307"")+IMPORTRANGE(""https://docs.google.com/spreadsheets/d/1hh-FVnSX0vozXhGluamEcS54Dw9_zqW0N7qJUWgJ0Sw/edit?usp=sharing"",""ชัยนาท!L307"")+IMPORTRANGE(""https://docs.google.com/spreadsheets/d/1jkqa6GXxSacMcY1eN8AHjMNJ_7dDXMJ"&amp;"VRLDlaFSOdPM/edit?usp=sharing"",""ตราด!L307"")+IMPORTRANGE(""https://docs.google.com/spreadsheets/d/18hSgUJ3VwClqi_qtULmmW3cLr0oe3OKaSYoKzdpTsYQ/edit?usp=sharing"",""นครนายก!L307"")+IMPORTRANGE(""https://docs.google.com/spreadsheets/d/1YTZo6WM2dQ6Ix6FSdnL"&amp;"5P7uVnVKu40sxZu975tgG10E/edit?usp=sharing"",""นครปฐม!L307"")+IMPORTRANGE(""https://docs.google.com/spreadsheets/d/1OYoGg4WDg5RIzwGeB10padOxJF9E_Vljuvvct_M7RDo/edit?usp=sharing"",""ปทุมธานี!L307"")+IMPORTRANGE(""https://docs.google.com/spreadsheets/d/1GbCI"&amp;"E4D4wk9FUozzqk7SxfDMxDVBwVmI5zcaVUSzKAc/edit?usp=sharing"",""ประจวบคีรีขันธ์!L307"")+IMPORTRANGE(""https://docs.google.com/spreadsheets/d/1vVf6wykvW_lAyu7Yo9L4hUTqHqIeP_qcVuxCtosJEbg/edit?usp=sharing"",""ปราจีนบุรี!L307"")+IMPORTRANGE(""https://docs.googl"&amp;"e.com/spreadsheets/d/1BIDqLLg5jk3v59G8NlR8rk5xfQDKne0sAvZHSj7TI6I/edit?usp=sharing"",""พระนครศรีอยุธยา!L307"")+IMPORTRANGE(""https://docs.google.com/spreadsheets/d/1YXvxf8Yu6_rV4hTBrwMqAcAnv6DfhUxh5emyM3CJp_w/edit?usp=sharing"",""เพชรบุรี!L307"")+IMPORTRA"&amp;"NGE(""https://docs.google.com/spreadsheets/d/19KBlQQs7uwvsao6t2n-KvW3Ax8J8uRRfZPq1zPbXgKc/edit?usp=sharing"",""ระยอง!L307"")+IMPORTRANGE(""https://docs.google.com/spreadsheets/d/1jQ6P4QcrGM89YfqcC_PxOHGCMq5ezhucwJd8ci-NHng/edit?usp=sharing"",""ราชบุรี!L30"&amp;"7"")+IMPORTRANGE(""https://docs.google.com/spreadsheets/d/1lufeA2cfFqM-elVq2hznhDzC6Pr7wkJ9ZG_sYNGCMCU/edit?usp=sharing"",""ลพบุรี!L307"")+IMPORTRANGE(""https://docs.google.com/spreadsheets/d/10oOiF7loTyfsTkbd4MpaIm0HQ9SwB7IYHdIUvt-U1Uc/edit?usp=sharing"""&amp;",""สระแก้ว!L307"")+IMPORTRANGE(""https://docs.google.com/spreadsheets/d/1xmPlrr1QbdSIKvl1dWUl9K4PjAfSL9oeMr_37QVzcxc/edit?usp=sharing"",""สระบุรี!L307"")+IMPORTRANGE(""https://docs.google.com/spreadsheets/d/1j51vR6CYVGhABJpv6tkstgok82RLpXieLzW1yOY5rHw/edi"&amp;"t?usp=sharing"",""สิงห์บุรี!L307"")+IMPORTRANGE(""https://docs.google.com/spreadsheets/d/1H1EalTWKUSzO4Z1-1CwzoDUaVffgrThEBe2sl74kKG0/edit?usp=sharing"",""สุพรรณบุรี!L307"")+IMPORTRANGE(""https://docs.google.com/spreadsheets/d/1BmIruG_sIrJLYao_Pdr7zVArWsf"&amp;"oBt2692TMi6x_854/edit?usp=sharing"",""อ่างทอง!L307"")"),0)</f>
        <v>0</v>
      </c>
      <c r="M307" s="59">
        <f ca="1">IFERROR(__xludf.DUMMYFUNCTION("IMPORTRANGE(""https://docs.google.com/spreadsheets/d/13wPX838HrBrQMCywv1BsuMkt4PEKTChp52zj44s2izQ/edit?usp=sharing"",""กาญจนบุรี!M307"")+IMPORTRANGE(""https://docs.google.com/spreadsheets/d/1ddFKvqj1W1NEiWytbGlB1zMx_ykJDVtmfEQ-6-lIUBA/edit?usp=sharing"","&amp;"""จันทบุรี!M307"")+IMPORTRANGE(""https://docs.google.com/spreadsheets/d/1T1PQvRODqOBZk8BRht_U031fIS1beLA0Ub2CEytj2q0/edit?usp=sharing"",""ฉะเชิงเทรา!M307"")+IMPORTRANGE(""https://docs.google.com/spreadsheets/d/11tr1B-Bhyr79v2bkwVh5h_fR-PStkgjlZtkrZpYurG0/"&amp;"edit?usp=sharing"",""ชลบุรี!M307"")+IMPORTRANGE(""https://docs.google.com/spreadsheets/d/1hh-FVnSX0vozXhGluamEcS54Dw9_zqW0N7qJUWgJ0Sw/edit?usp=sharing"",""ชัยนาท!M307"")+IMPORTRANGE(""https://docs.google.com/spreadsheets/d/1jkqa6GXxSacMcY1eN8AHjMNJ_7dDXMJ"&amp;"VRLDlaFSOdPM/edit?usp=sharing"",""ตราด!M307"")+IMPORTRANGE(""https://docs.google.com/spreadsheets/d/18hSgUJ3VwClqi_qtULmmW3cLr0oe3OKaSYoKzdpTsYQ/edit?usp=sharing"",""นครนายก!M307"")+IMPORTRANGE(""https://docs.google.com/spreadsheets/d/1YTZo6WM2dQ6Ix6FSdnL"&amp;"5P7uVnVKu40sxZu975tgG10E/edit?usp=sharing"",""นครปฐม!M307"")+IMPORTRANGE(""https://docs.google.com/spreadsheets/d/1OYoGg4WDg5RIzwGeB10padOxJF9E_Vljuvvct_M7RDo/edit?usp=sharing"",""ปทุมธานี!M307"")+IMPORTRANGE(""https://docs.google.com/spreadsheets/d/1GbCI"&amp;"E4D4wk9FUozzqk7SxfDMxDVBwVmI5zcaVUSzKAc/edit?usp=sharing"",""ประจวบคีรีขันธ์!M307"")+IMPORTRANGE(""https://docs.google.com/spreadsheets/d/1vVf6wykvW_lAyu7Yo9L4hUTqHqIeP_qcVuxCtosJEbg/edit?usp=sharing"",""ปราจีนบุรี!M307"")+IMPORTRANGE(""https://docs.googl"&amp;"e.com/spreadsheets/d/1BIDqLLg5jk3v59G8NlR8rk5xfQDKne0sAvZHSj7TI6I/edit?usp=sharing"",""พระนครศรีอยุธยา!M307"")+IMPORTRANGE(""https://docs.google.com/spreadsheets/d/1YXvxf8Yu6_rV4hTBrwMqAcAnv6DfhUxh5emyM3CJp_w/edit?usp=sharing"",""เพชรบุรี!M307"")+IMPORTRA"&amp;"NGE(""https://docs.google.com/spreadsheets/d/19KBlQQs7uwvsao6t2n-KvW3Ax8J8uRRfZPq1zPbXgKc/edit?usp=sharing"",""ระยอง!M307"")+IMPORTRANGE(""https://docs.google.com/spreadsheets/d/1jQ6P4QcrGM89YfqcC_PxOHGCMq5ezhucwJd8ci-NHng/edit?usp=sharing"",""ราชบุรี!M30"&amp;"7"")+IMPORTRANGE(""https://docs.google.com/spreadsheets/d/1lufeA2cfFqM-elVq2hznhDzC6Pr7wkJ9ZG_sYNGCMCU/edit?usp=sharing"",""ลพบุรี!M307"")+IMPORTRANGE(""https://docs.google.com/spreadsheets/d/10oOiF7loTyfsTkbd4MpaIm0HQ9SwB7IYHdIUvt-U1Uc/edit?usp=sharing"""&amp;",""สระแก้ว!M307"")+IMPORTRANGE(""https://docs.google.com/spreadsheets/d/1xmPlrr1QbdSIKvl1dWUl9K4PjAfSL9oeMr_37QVzcxc/edit?usp=sharing"",""สระบุรี!M307"")+IMPORTRANGE(""https://docs.google.com/spreadsheets/d/1j51vR6CYVGhABJpv6tkstgok82RLpXieLzW1yOY5rHw/edi"&amp;"t?usp=sharing"",""สิงห์บุรี!M307"")+IMPORTRANGE(""https://docs.google.com/spreadsheets/d/1H1EalTWKUSzO4Z1-1CwzoDUaVffgrThEBe2sl74kKG0/edit?usp=sharing"",""สุพรรณบุรี!M307"")+IMPORTRANGE(""https://docs.google.com/spreadsheets/d/1BmIruG_sIrJLYao_Pdr7zVArWsf"&amp;"oBt2692TMi6x_854/edit?usp=sharing"",""อ่างทอง!M307"")"),0)</f>
        <v>0</v>
      </c>
      <c r="N307" s="59">
        <f ca="1">IFERROR(__xludf.DUMMYFUNCTION("IMPORTRANGE(""https://docs.google.com/spreadsheets/d/13wPX838HrBrQMCywv1BsuMkt4PEKTChp52zj44s2izQ/edit?usp=sharing"",""กาญจนบุรี!N307"")+IMPORTRANGE(""https://docs.google.com/spreadsheets/d/1ddFKvqj1W1NEiWytbGlB1zMx_ykJDVtmfEQ-6-lIUBA/edit?usp=sharing"","&amp;"""จันทบุรี!N307"")+IMPORTRANGE(""https://docs.google.com/spreadsheets/d/1T1PQvRODqOBZk8BRht_U031fIS1beLA0Ub2CEytj2q0/edit?usp=sharing"",""ฉะเชิงเทรา!N307"")+IMPORTRANGE(""https://docs.google.com/spreadsheets/d/11tr1B-Bhyr79v2bkwVh5h_fR-PStkgjlZtkrZpYurG0/"&amp;"edit?usp=sharing"",""ชลบุรี!N307"")+IMPORTRANGE(""https://docs.google.com/spreadsheets/d/1hh-FVnSX0vozXhGluamEcS54Dw9_zqW0N7qJUWgJ0Sw/edit?usp=sharing"",""ชัยนาท!N307"")+IMPORTRANGE(""https://docs.google.com/spreadsheets/d/1jkqa6GXxSacMcY1eN8AHjMNJ_7dDXMJ"&amp;"VRLDlaFSOdPM/edit?usp=sharing"",""ตราด!N307"")+IMPORTRANGE(""https://docs.google.com/spreadsheets/d/18hSgUJ3VwClqi_qtULmmW3cLr0oe3OKaSYoKzdpTsYQ/edit?usp=sharing"",""นครนายก!N307"")+IMPORTRANGE(""https://docs.google.com/spreadsheets/d/1YTZo6WM2dQ6Ix6FSdnL"&amp;"5P7uVnVKu40sxZu975tgG10E/edit?usp=sharing"",""นครปฐม!N307"")+IMPORTRANGE(""https://docs.google.com/spreadsheets/d/1OYoGg4WDg5RIzwGeB10padOxJF9E_Vljuvvct_M7RDo/edit?usp=sharing"",""ปทุมธานี!N307"")+IMPORTRANGE(""https://docs.google.com/spreadsheets/d/1GbCI"&amp;"E4D4wk9FUozzqk7SxfDMxDVBwVmI5zcaVUSzKAc/edit?usp=sharing"",""ประจวบคีรีขันธ์!N307"")+IMPORTRANGE(""https://docs.google.com/spreadsheets/d/1vVf6wykvW_lAyu7Yo9L4hUTqHqIeP_qcVuxCtosJEbg/edit?usp=sharing"",""ปราจีนบุรี!N307"")+IMPORTRANGE(""https://docs.googl"&amp;"e.com/spreadsheets/d/1BIDqLLg5jk3v59G8NlR8rk5xfQDKne0sAvZHSj7TI6I/edit?usp=sharing"",""พระนครศรีอยุธยา!N307"")+IMPORTRANGE(""https://docs.google.com/spreadsheets/d/1YXvxf8Yu6_rV4hTBrwMqAcAnv6DfhUxh5emyM3CJp_w/edit?usp=sharing"",""เพชรบุรี!N307"")+IMPORTRA"&amp;"NGE(""https://docs.google.com/spreadsheets/d/19KBlQQs7uwvsao6t2n-KvW3Ax8J8uRRfZPq1zPbXgKc/edit?usp=sharing"",""ระยอง!N307"")+IMPORTRANGE(""https://docs.google.com/spreadsheets/d/1jQ6P4QcrGM89YfqcC_PxOHGCMq5ezhucwJd8ci-NHng/edit?usp=sharing"",""ราชบุรี!N30"&amp;"7"")+IMPORTRANGE(""https://docs.google.com/spreadsheets/d/1lufeA2cfFqM-elVq2hznhDzC6Pr7wkJ9ZG_sYNGCMCU/edit?usp=sharing"",""ลพบุรี!N307"")+IMPORTRANGE(""https://docs.google.com/spreadsheets/d/10oOiF7loTyfsTkbd4MpaIm0HQ9SwB7IYHdIUvt-U1Uc/edit?usp=sharing"""&amp;",""สระแก้ว!N307"")+IMPORTRANGE(""https://docs.google.com/spreadsheets/d/1xmPlrr1QbdSIKvl1dWUl9K4PjAfSL9oeMr_37QVzcxc/edit?usp=sharing"",""สระบุรี!N307"")+IMPORTRANGE(""https://docs.google.com/spreadsheets/d/1j51vR6CYVGhABJpv6tkstgok82RLpXieLzW1yOY5rHw/edi"&amp;"t?usp=sharing"",""สิงห์บุรี!N307"")+IMPORTRANGE(""https://docs.google.com/spreadsheets/d/1H1EalTWKUSzO4Z1-1CwzoDUaVffgrThEBe2sl74kKG0/edit?usp=sharing"",""สุพรรณบุรี!N307"")+IMPORTRANGE(""https://docs.google.com/spreadsheets/d/1BmIruG_sIrJLYao_Pdr7zVArWsf"&amp;"oBt2692TMi6x_854/edit?usp=sharing"",""อ่างทอง!N307"")"),0)</f>
        <v>0</v>
      </c>
      <c r="O307" s="59">
        <f t="shared" ca="1" si="129"/>
        <v>0</v>
      </c>
      <c r="P307" s="59">
        <f t="shared" ca="1" si="130"/>
        <v>0</v>
      </c>
    </row>
    <row r="308" spans="1:16" ht="18.75" x14ac:dyDescent="0.25">
      <c r="A308" s="157"/>
      <c r="B308" s="53"/>
      <c r="C308" s="53"/>
      <c r="D308" s="53"/>
      <c r="E308" s="60" t="s">
        <v>35</v>
      </c>
      <c r="F308" s="53"/>
      <c r="G308" s="55"/>
      <c r="H308" s="163" t="s">
        <v>12</v>
      </c>
      <c r="I308" s="164"/>
      <c r="J308" s="164"/>
      <c r="K308" s="165"/>
      <c r="L308" s="59">
        <f ca="1">IFERROR(__xludf.DUMMYFUNCTION("IMPORTRANGE(""https://docs.google.com/spreadsheets/d/13wPX838HrBrQMCywv1BsuMkt4PEKTChp52zj44s2izQ/edit?usp=sharing"",""กาญจนบุรี!L308"")+IMPORTRANGE(""https://docs.google.com/spreadsheets/d/1ddFKvqj1W1NEiWytbGlB1zMx_ykJDVtmfEQ-6-lIUBA/edit?usp=sharing"","&amp;"""จันทบุรี!L308"")+IMPORTRANGE(""https://docs.google.com/spreadsheets/d/1T1PQvRODqOBZk8BRht_U031fIS1beLA0Ub2CEytj2q0/edit?usp=sharing"",""ฉะเชิงเทรา!L308"")+IMPORTRANGE(""https://docs.google.com/spreadsheets/d/11tr1B-Bhyr79v2bkwVh5h_fR-PStkgjlZtkrZpYurG0/"&amp;"edit?usp=sharing"",""ชลบุรี!L308"")+IMPORTRANGE(""https://docs.google.com/spreadsheets/d/1hh-FVnSX0vozXhGluamEcS54Dw9_zqW0N7qJUWgJ0Sw/edit?usp=sharing"",""ชัยนาท!L308"")+IMPORTRANGE(""https://docs.google.com/spreadsheets/d/1jkqa6GXxSacMcY1eN8AHjMNJ_7dDXMJ"&amp;"VRLDlaFSOdPM/edit?usp=sharing"",""ตราด!L308"")+IMPORTRANGE(""https://docs.google.com/spreadsheets/d/18hSgUJ3VwClqi_qtULmmW3cLr0oe3OKaSYoKzdpTsYQ/edit?usp=sharing"",""นครนายก!L308"")+IMPORTRANGE(""https://docs.google.com/spreadsheets/d/1YTZo6WM2dQ6Ix6FSdnL"&amp;"5P7uVnVKu40sxZu975tgG10E/edit?usp=sharing"",""นครปฐม!L308"")+IMPORTRANGE(""https://docs.google.com/spreadsheets/d/1OYoGg4WDg5RIzwGeB10padOxJF9E_Vljuvvct_M7RDo/edit?usp=sharing"",""ปทุมธานี!L308"")+IMPORTRANGE(""https://docs.google.com/spreadsheets/d/1GbCI"&amp;"E4D4wk9FUozzqk7SxfDMxDVBwVmI5zcaVUSzKAc/edit?usp=sharing"",""ประจวบคีรีขันธ์!L308"")+IMPORTRANGE(""https://docs.google.com/spreadsheets/d/1vVf6wykvW_lAyu7Yo9L4hUTqHqIeP_qcVuxCtosJEbg/edit?usp=sharing"",""ปราจีนบุรี!L308"")+IMPORTRANGE(""https://docs.googl"&amp;"e.com/spreadsheets/d/1BIDqLLg5jk3v59G8NlR8rk5xfQDKne0sAvZHSj7TI6I/edit?usp=sharing"",""พระนครศรีอยุธยา!L308"")+IMPORTRANGE(""https://docs.google.com/spreadsheets/d/1YXvxf8Yu6_rV4hTBrwMqAcAnv6DfhUxh5emyM3CJp_w/edit?usp=sharing"",""เพชรบุรี!L308"")+IMPORTRA"&amp;"NGE(""https://docs.google.com/spreadsheets/d/19KBlQQs7uwvsao6t2n-KvW3Ax8J8uRRfZPq1zPbXgKc/edit?usp=sharing"",""ระยอง!L308"")+IMPORTRANGE(""https://docs.google.com/spreadsheets/d/1jQ6P4QcrGM89YfqcC_PxOHGCMq5ezhucwJd8ci-NHng/edit?usp=sharing"",""ราชบุรี!L30"&amp;"8"")+IMPORTRANGE(""https://docs.google.com/spreadsheets/d/1lufeA2cfFqM-elVq2hznhDzC6Pr7wkJ9ZG_sYNGCMCU/edit?usp=sharing"",""ลพบุรี!L308"")+IMPORTRANGE(""https://docs.google.com/spreadsheets/d/10oOiF7loTyfsTkbd4MpaIm0HQ9SwB7IYHdIUvt-U1Uc/edit?usp=sharing"""&amp;",""สระแก้ว!L308"")+IMPORTRANGE(""https://docs.google.com/spreadsheets/d/1xmPlrr1QbdSIKvl1dWUl9K4PjAfSL9oeMr_37QVzcxc/edit?usp=sharing"",""สระบุรี!L308"")+IMPORTRANGE(""https://docs.google.com/spreadsheets/d/1j51vR6CYVGhABJpv6tkstgok82RLpXieLzW1yOY5rHw/edi"&amp;"t?usp=sharing"",""สิงห์บุรี!L308"")+IMPORTRANGE(""https://docs.google.com/spreadsheets/d/1H1EalTWKUSzO4Z1-1CwzoDUaVffgrThEBe2sl74kKG0/edit?usp=sharing"",""สุพรรณบุรี!L308"")+IMPORTRANGE(""https://docs.google.com/spreadsheets/d/1BmIruG_sIrJLYao_Pdr7zVArWsf"&amp;"oBt2692TMi6x_854/edit?usp=sharing"",""อ่างทอง!L308"")"),1119100)</f>
        <v>1119100</v>
      </c>
      <c r="M308" s="59">
        <f ca="1">IFERROR(__xludf.DUMMYFUNCTION("IMPORTRANGE(""https://docs.google.com/spreadsheets/d/13wPX838HrBrQMCywv1BsuMkt4PEKTChp52zj44s2izQ/edit?usp=sharing"",""กาญจนบุรี!M308"")+IMPORTRANGE(""https://docs.google.com/spreadsheets/d/1ddFKvqj1W1NEiWytbGlB1zMx_ykJDVtmfEQ-6-lIUBA/edit?usp=sharing"","&amp;"""จันทบุรี!M308"")+IMPORTRANGE(""https://docs.google.com/spreadsheets/d/1T1PQvRODqOBZk8BRht_U031fIS1beLA0Ub2CEytj2q0/edit?usp=sharing"",""ฉะเชิงเทรา!M308"")+IMPORTRANGE(""https://docs.google.com/spreadsheets/d/11tr1B-Bhyr79v2bkwVh5h_fR-PStkgjlZtkrZpYurG0/"&amp;"edit?usp=sharing"",""ชลบุรี!M308"")+IMPORTRANGE(""https://docs.google.com/spreadsheets/d/1hh-FVnSX0vozXhGluamEcS54Dw9_zqW0N7qJUWgJ0Sw/edit?usp=sharing"",""ชัยนาท!M308"")+IMPORTRANGE(""https://docs.google.com/spreadsheets/d/1jkqa6GXxSacMcY1eN8AHjMNJ_7dDXMJ"&amp;"VRLDlaFSOdPM/edit?usp=sharing"",""ตราด!M308"")+IMPORTRANGE(""https://docs.google.com/spreadsheets/d/18hSgUJ3VwClqi_qtULmmW3cLr0oe3OKaSYoKzdpTsYQ/edit?usp=sharing"",""นครนายก!M308"")+IMPORTRANGE(""https://docs.google.com/spreadsheets/d/1YTZo6WM2dQ6Ix6FSdnL"&amp;"5P7uVnVKu40sxZu975tgG10E/edit?usp=sharing"",""นครปฐม!M308"")+IMPORTRANGE(""https://docs.google.com/spreadsheets/d/1OYoGg4WDg5RIzwGeB10padOxJF9E_Vljuvvct_M7RDo/edit?usp=sharing"",""ปทุมธานี!M308"")+IMPORTRANGE(""https://docs.google.com/spreadsheets/d/1GbCI"&amp;"E4D4wk9FUozzqk7SxfDMxDVBwVmI5zcaVUSzKAc/edit?usp=sharing"",""ประจวบคีรีขันธ์!M308"")+IMPORTRANGE(""https://docs.google.com/spreadsheets/d/1vVf6wykvW_lAyu7Yo9L4hUTqHqIeP_qcVuxCtosJEbg/edit?usp=sharing"",""ปราจีนบุรี!M308"")+IMPORTRANGE(""https://docs.googl"&amp;"e.com/spreadsheets/d/1BIDqLLg5jk3v59G8NlR8rk5xfQDKne0sAvZHSj7TI6I/edit?usp=sharing"",""พระนครศรีอยุธยา!M308"")+IMPORTRANGE(""https://docs.google.com/spreadsheets/d/1YXvxf8Yu6_rV4hTBrwMqAcAnv6DfhUxh5emyM3CJp_w/edit?usp=sharing"",""เพชรบุรี!M308"")+IMPORTRA"&amp;"NGE(""https://docs.google.com/spreadsheets/d/19KBlQQs7uwvsao6t2n-KvW3Ax8J8uRRfZPq1zPbXgKc/edit?usp=sharing"",""ระยอง!M308"")+IMPORTRANGE(""https://docs.google.com/spreadsheets/d/1jQ6P4QcrGM89YfqcC_PxOHGCMq5ezhucwJd8ci-NHng/edit?usp=sharing"",""ราชบุรี!M30"&amp;"8"")+IMPORTRANGE(""https://docs.google.com/spreadsheets/d/1lufeA2cfFqM-elVq2hznhDzC6Pr7wkJ9ZG_sYNGCMCU/edit?usp=sharing"",""ลพบุรี!M308"")+IMPORTRANGE(""https://docs.google.com/spreadsheets/d/10oOiF7loTyfsTkbd4MpaIm0HQ9SwB7IYHdIUvt-U1Uc/edit?usp=sharing"""&amp;",""สระแก้ว!M308"")+IMPORTRANGE(""https://docs.google.com/spreadsheets/d/1xmPlrr1QbdSIKvl1dWUl9K4PjAfSL9oeMr_37QVzcxc/edit?usp=sharing"",""สระบุรี!M308"")+IMPORTRANGE(""https://docs.google.com/spreadsheets/d/1j51vR6CYVGhABJpv6tkstgok82RLpXieLzW1yOY5rHw/edi"&amp;"t?usp=sharing"",""สิงห์บุรี!M308"")+IMPORTRANGE(""https://docs.google.com/spreadsheets/d/1H1EalTWKUSzO4Z1-1CwzoDUaVffgrThEBe2sl74kKG0/edit?usp=sharing"",""สุพรรณบุรี!M308"")+IMPORTRANGE(""https://docs.google.com/spreadsheets/d/1BmIruG_sIrJLYao_Pdr7zVArWsf"&amp;"oBt2692TMi6x_854/edit?usp=sharing"",""อ่างทอง!M308"")"),843700)</f>
        <v>843700</v>
      </c>
      <c r="N308" s="59">
        <f ca="1">IFERROR(__xludf.DUMMYFUNCTION("IMPORTRANGE(""https://docs.google.com/spreadsheets/d/13wPX838HrBrQMCywv1BsuMkt4PEKTChp52zj44s2izQ/edit?usp=sharing"",""กาญจนบุรี!N308"")+IMPORTRANGE(""https://docs.google.com/spreadsheets/d/1ddFKvqj1W1NEiWytbGlB1zMx_ykJDVtmfEQ-6-lIUBA/edit?usp=sharing"","&amp;"""จันทบุรี!N308"")+IMPORTRANGE(""https://docs.google.com/spreadsheets/d/1T1PQvRODqOBZk8BRht_U031fIS1beLA0Ub2CEytj2q0/edit?usp=sharing"",""ฉะเชิงเทรา!N308"")+IMPORTRANGE(""https://docs.google.com/spreadsheets/d/11tr1B-Bhyr79v2bkwVh5h_fR-PStkgjlZtkrZpYurG0/"&amp;"edit?usp=sharing"",""ชลบุรี!N308"")+IMPORTRANGE(""https://docs.google.com/spreadsheets/d/1hh-FVnSX0vozXhGluamEcS54Dw9_zqW0N7qJUWgJ0Sw/edit?usp=sharing"",""ชัยนาท!N308"")+IMPORTRANGE(""https://docs.google.com/spreadsheets/d/1jkqa6GXxSacMcY1eN8AHjMNJ_7dDXMJ"&amp;"VRLDlaFSOdPM/edit?usp=sharing"",""ตราด!N308"")+IMPORTRANGE(""https://docs.google.com/spreadsheets/d/18hSgUJ3VwClqi_qtULmmW3cLr0oe3OKaSYoKzdpTsYQ/edit?usp=sharing"",""นครนายก!N308"")+IMPORTRANGE(""https://docs.google.com/spreadsheets/d/1YTZo6WM2dQ6Ix6FSdnL"&amp;"5P7uVnVKu40sxZu975tgG10E/edit?usp=sharing"",""นครปฐม!N308"")+IMPORTRANGE(""https://docs.google.com/spreadsheets/d/1OYoGg4WDg5RIzwGeB10padOxJF9E_Vljuvvct_M7RDo/edit?usp=sharing"",""ปทุมธานี!N308"")+IMPORTRANGE(""https://docs.google.com/spreadsheets/d/1GbCI"&amp;"E4D4wk9FUozzqk7SxfDMxDVBwVmI5zcaVUSzKAc/edit?usp=sharing"",""ประจวบคีรีขันธ์!N308"")+IMPORTRANGE(""https://docs.google.com/spreadsheets/d/1vVf6wykvW_lAyu7Yo9L4hUTqHqIeP_qcVuxCtosJEbg/edit?usp=sharing"",""ปราจีนบุรี!N308"")+IMPORTRANGE(""https://docs.googl"&amp;"e.com/spreadsheets/d/1BIDqLLg5jk3v59G8NlR8rk5xfQDKne0sAvZHSj7TI6I/edit?usp=sharing"",""พระนครศรีอยุธยา!N308"")+IMPORTRANGE(""https://docs.google.com/spreadsheets/d/1YXvxf8Yu6_rV4hTBrwMqAcAnv6DfhUxh5emyM3CJp_w/edit?usp=sharing"",""เพชรบุรี!N308"")+IMPORTRA"&amp;"NGE(""https://docs.google.com/spreadsheets/d/19KBlQQs7uwvsao6t2n-KvW3Ax8J8uRRfZPq1zPbXgKc/edit?usp=sharing"",""ระยอง!N308"")+IMPORTRANGE(""https://docs.google.com/spreadsheets/d/1jQ6P4QcrGM89YfqcC_PxOHGCMq5ezhucwJd8ci-NHng/edit?usp=sharing"",""ราชบุรี!N30"&amp;"8"")+IMPORTRANGE(""https://docs.google.com/spreadsheets/d/1lufeA2cfFqM-elVq2hznhDzC6Pr7wkJ9ZG_sYNGCMCU/edit?usp=sharing"",""ลพบุรี!N308"")+IMPORTRANGE(""https://docs.google.com/spreadsheets/d/10oOiF7loTyfsTkbd4MpaIm0HQ9SwB7IYHdIUvt-U1Uc/edit?usp=sharing"""&amp;",""สระแก้ว!N308"")+IMPORTRANGE(""https://docs.google.com/spreadsheets/d/1xmPlrr1QbdSIKvl1dWUl9K4PjAfSL9oeMr_37QVzcxc/edit?usp=sharing"",""สระบุรี!N308"")+IMPORTRANGE(""https://docs.google.com/spreadsheets/d/1j51vR6CYVGhABJpv6tkstgok82RLpXieLzW1yOY5rHw/edi"&amp;"t?usp=sharing"",""สิงห์บุรี!N308"")+IMPORTRANGE(""https://docs.google.com/spreadsheets/d/1H1EalTWKUSzO4Z1-1CwzoDUaVffgrThEBe2sl74kKG0/edit?usp=sharing"",""สุพรรณบุรี!N308"")+IMPORTRANGE(""https://docs.google.com/spreadsheets/d/1BmIruG_sIrJLYao_Pdr7zVArWsf"&amp;"oBt2692TMi6x_854/edit?usp=sharing"",""อ่างทอง!N308"")"),166421.669999999)</f>
        <v>166421.66999999899</v>
      </c>
      <c r="O308" s="59">
        <f t="shared" ca="1" si="129"/>
        <v>14.871027611473416</v>
      </c>
      <c r="P308" s="59">
        <f t="shared" ca="1" si="130"/>
        <v>19.725218679625339</v>
      </c>
    </row>
    <row r="309" spans="1:16" ht="18.75" x14ac:dyDescent="0.25">
      <c r="A309" s="157"/>
      <c r="B309" s="53"/>
      <c r="C309" s="53"/>
      <c r="D309" s="54" t="s">
        <v>21</v>
      </c>
      <c r="E309" s="53"/>
      <c r="F309" s="53"/>
      <c r="G309" s="55"/>
      <c r="H309" s="166" t="s">
        <v>12</v>
      </c>
      <c r="I309" s="164"/>
      <c r="J309" s="164"/>
      <c r="K309" s="165"/>
      <c r="L309" s="59">
        <f t="shared" ref="L309:N309" ca="1" si="134">L310+L311</f>
        <v>0</v>
      </c>
      <c r="M309" s="59">
        <f t="shared" ca="1" si="134"/>
        <v>0</v>
      </c>
      <c r="N309" s="59">
        <f t="shared" ca="1" si="134"/>
        <v>0</v>
      </c>
      <c r="O309" s="59">
        <f t="shared" ca="1" si="129"/>
        <v>0</v>
      </c>
      <c r="P309" s="59">
        <f t="shared" ca="1" si="130"/>
        <v>0</v>
      </c>
    </row>
    <row r="310" spans="1:16" ht="18.75" x14ac:dyDescent="0.25">
      <c r="A310" s="157"/>
      <c r="B310" s="53"/>
      <c r="C310" s="53"/>
      <c r="D310" s="53"/>
      <c r="E310" s="60" t="s">
        <v>18</v>
      </c>
      <c r="F310" s="53"/>
      <c r="G310" s="55"/>
      <c r="H310" s="163" t="s">
        <v>12</v>
      </c>
      <c r="I310" s="164"/>
      <c r="J310" s="164"/>
      <c r="K310" s="165"/>
      <c r="L310" s="59">
        <f ca="1">IFERROR(__xludf.DUMMYFUNCTION("IMPORTRANGE(""https://docs.google.com/spreadsheets/d/13wPX838HrBrQMCywv1BsuMkt4PEKTChp52zj44s2izQ/edit?usp=sharing"",""กาญจนบุรี!L310"")+IMPORTRANGE(""https://docs.google.com/spreadsheets/d/1ddFKvqj1W1NEiWytbGlB1zMx_ykJDVtmfEQ-6-lIUBA/edit?usp=sharing"","&amp;"""จันทบุรี!L310"")+IMPORTRANGE(""https://docs.google.com/spreadsheets/d/1T1PQvRODqOBZk8BRht_U031fIS1beLA0Ub2CEytj2q0/edit?usp=sharing"",""ฉะเชิงเทรา!L310"")+IMPORTRANGE(""https://docs.google.com/spreadsheets/d/11tr1B-Bhyr79v2bkwVh5h_fR-PStkgjlZtkrZpYurG0/"&amp;"edit?usp=sharing"",""ชลบุรี!L310"")+IMPORTRANGE(""https://docs.google.com/spreadsheets/d/1hh-FVnSX0vozXhGluamEcS54Dw9_zqW0N7qJUWgJ0Sw/edit?usp=sharing"",""ชัยนาท!L310"")+IMPORTRANGE(""https://docs.google.com/spreadsheets/d/1jkqa6GXxSacMcY1eN8AHjMNJ_7dDXMJ"&amp;"VRLDlaFSOdPM/edit?usp=sharing"",""ตราด!L310"")+IMPORTRANGE(""https://docs.google.com/spreadsheets/d/18hSgUJ3VwClqi_qtULmmW3cLr0oe3OKaSYoKzdpTsYQ/edit?usp=sharing"",""นครนายก!L310"")+IMPORTRANGE(""https://docs.google.com/spreadsheets/d/1YTZo6WM2dQ6Ix6FSdnL"&amp;"5P7uVnVKu40sxZu975tgG10E/edit?usp=sharing"",""นครปฐม!L310"")+IMPORTRANGE(""https://docs.google.com/spreadsheets/d/1OYoGg4WDg5RIzwGeB10padOxJF9E_Vljuvvct_M7RDo/edit?usp=sharing"",""ปทุมธานี!L310"")+IMPORTRANGE(""https://docs.google.com/spreadsheets/d/1GbCI"&amp;"E4D4wk9FUozzqk7SxfDMxDVBwVmI5zcaVUSzKAc/edit?usp=sharing"",""ประจวบคีรีขันธ์!L310"")+IMPORTRANGE(""https://docs.google.com/spreadsheets/d/1vVf6wykvW_lAyu7Yo9L4hUTqHqIeP_qcVuxCtosJEbg/edit?usp=sharing"",""ปราจีนบุรี!L310"")+IMPORTRANGE(""https://docs.googl"&amp;"e.com/spreadsheets/d/1BIDqLLg5jk3v59G8NlR8rk5xfQDKne0sAvZHSj7TI6I/edit?usp=sharing"",""พระนครศรีอยุธยา!L310"")+IMPORTRANGE(""https://docs.google.com/spreadsheets/d/1YXvxf8Yu6_rV4hTBrwMqAcAnv6DfhUxh5emyM3CJp_w/edit?usp=sharing"",""เพชรบุรี!L310"")+IMPORTRA"&amp;"NGE(""https://docs.google.com/spreadsheets/d/19KBlQQs7uwvsao6t2n-KvW3Ax8J8uRRfZPq1zPbXgKc/edit?usp=sharing"",""ระยอง!L310"")+IMPORTRANGE(""https://docs.google.com/spreadsheets/d/1jQ6P4QcrGM89YfqcC_PxOHGCMq5ezhucwJd8ci-NHng/edit?usp=sharing"",""ราชบุรี!L31"&amp;"0"")+IMPORTRANGE(""https://docs.google.com/spreadsheets/d/1lufeA2cfFqM-elVq2hznhDzC6Pr7wkJ9ZG_sYNGCMCU/edit?usp=sharing"",""ลพบุรี!L310"")+IMPORTRANGE(""https://docs.google.com/spreadsheets/d/10oOiF7loTyfsTkbd4MpaIm0HQ9SwB7IYHdIUvt-U1Uc/edit?usp=sharing"""&amp;",""สระแก้ว!L310"")+IMPORTRANGE(""https://docs.google.com/spreadsheets/d/1xmPlrr1QbdSIKvl1dWUl9K4PjAfSL9oeMr_37QVzcxc/edit?usp=sharing"",""สระบุรี!L310"")+IMPORTRANGE(""https://docs.google.com/spreadsheets/d/1j51vR6CYVGhABJpv6tkstgok82RLpXieLzW1yOY5rHw/edi"&amp;"t?usp=sharing"",""สิงห์บุรี!L310"")+IMPORTRANGE(""https://docs.google.com/spreadsheets/d/1H1EalTWKUSzO4Z1-1CwzoDUaVffgrThEBe2sl74kKG0/edit?usp=sharing"",""สุพรรณบุรี!L310"")+IMPORTRANGE(""https://docs.google.com/spreadsheets/d/1BmIruG_sIrJLYao_Pdr7zVArWsf"&amp;"oBt2692TMi6x_854/edit?usp=sharing"",""อ่างทอง!L310"")"),0)</f>
        <v>0</v>
      </c>
      <c r="M310" s="59">
        <f ca="1">IFERROR(__xludf.DUMMYFUNCTION("IMPORTRANGE(""https://docs.google.com/spreadsheets/d/13wPX838HrBrQMCywv1BsuMkt4PEKTChp52zj44s2izQ/edit?usp=sharing"",""กาญจนบุรี!M310"")+IMPORTRANGE(""https://docs.google.com/spreadsheets/d/1ddFKvqj1W1NEiWytbGlB1zMx_ykJDVtmfEQ-6-lIUBA/edit?usp=sharing"","&amp;"""จันทบุรี!M310"")+IMPORTRANGE(""https://docs.google.com/spreadsheets/d/1T1PQvRODqOBZk8BRht_U031fIS1beLA0Ub2CEytj2q0/edit?usp=sharing"",""ฉะเชิงเทรา!M310"")+IMPORTRANGE(""https://docs.google.com/spreadsheets/d/11tr1B-Bhyr79v2bkwVh5h_fR-PStkgjlZtkrZpYurG0/"&amp;"edit?usp=sharing"",""ชลบุรี!M310"")+IMPORTRANGE(""https://docs.google.com/spreadsheets/d/1hh-FVnSX0vozXhGluamEcS54Dw9_zqW0N7qJUWgJ0Sw/edit?usp=sharing"",""ชัยนาท!M310"")+IMPORTRANGE(""https://docs.google.com/spreadsheets/d/1jkqa6GXxSacMcY1eN8AHjMNJ_7dDXMJ"&amp;"VRLDlaFSOdPM/edit?usp=sharing"",""ตราด!M310"")+IMPORTRANGE(""https://docs.google.com/spreadsheets/d/18hSgUJ3VwClqi_qtULmmW3cLr0oe3OKaSYoKzdpTsYQ/edit?usp=sharing"",""นครนายก!M310"")+IMPORTRANGE(""https://docs.google.com/spreadsheets/d/1YTZo6WM2dQ6Ix6FSdnL"&amp;"5P7uVnVKu40sxZu975tgG10E/edit?usp=sharing"",""นครปฐม!M310"")+IMPORTRANGE(""https://docs.google.com/spreadsheets/d/1OYoGg4WDg5RIzwGeB10padOxJF9E_Vljuvvct_M7RDo/edit?usp=sharing"",""ปทุมธานี!M310"")+IMPORTRANGE(""https://docs.google.com/spreadsheets/d/1GbCI"&amp;"E4D4wk9FUozzqk7SxfDMxDVBwVmI5zcaVUSzKAc/edit?usp=sharing"",""ประจวบคีรีขันธ์!M310"")+IMPORTRANGE(""https://docs.google.com/spreadsheets/d/1vVf6wykvW_lAyu7Yo9L4hUTqHqIeP_qcVuxCtosJEbg/edit?usp=sharing"",""ปราจีนบุรี!M310"")+IMPORTRANGE(""https://docs.googl"&amp;"e.com/spreadsheets/d/1BIDqLLg5jk3v59G8NlR8rk5xfQDKne0sAvZHSj7TI6I/edit?usp=sharing"",""พระนครศรีอยุธยา!M310"")+IMPORTRANGE(""https://docs.google.com/spreadsheets/d/1YXvxf8Yu6_rV4hTBrwMqAcAnv6DfhUxh5emyM3CJp_w/edit?usp=sharing"",""เพชรบุรี!M310"")+IMPORTRA"&amp;"NGE(""https://docs.google.com/spreadsheets/d/19KBlQQs7uwvsao6t2n-KvW3Ax8J8uRRfZPq1zPbXgKc/edit?usp=sharing"",""ระยอง!M310"")+IMPORTRANGE(""https://docs.google.com/spreadsheets/d/1jQ6P4QcrGM89YfqcC_PxOHGCMq5ezhucwJd8ci-NHng/edit?usp=sharing"",""ราชบุรี!M31"&amp;"0"")+IMPORTRANGE(""https://docs.google.com/spreadsheets/d/1lufeA2cfFqM-elVq2hznhDzC6Pr7wkJ9ZG_sYNGCMCU/edit?usp=sharing"",""ลพบุรี!M310"")+IMPORTRANGE(""https://docs.google.com/spreadsheets/d/10oOiF7loTyfsTkbd4MpaIm0HQ9SwB7IYHdIUvt-U1Uc/edit?usp=sharing"""&amp;",""สระแก้ว!M310"")+IMPORTRANGE(""https://docs.google.com/spreadsheets/d/1xmPlrr1QbdSIKvl1dWUl9K4PjAfSL9oeMr_37QVzcxc/edit?usp=sharing"",""สระบุรี!M310"")+IMPORTRANGE(""https://docs.google.com/spreadsheets/d/1j51vR6CYVGhABJpv6tkstgok82RLpXieLzW1yOY5rHw/edi"&amp;"t?usp=sharing"",""สิงห์บุรี!M310"")+IMPORTRANGE(""https://docs.google.com/spreadsheets/d/1H1EalTWKUSzO4Z1-1CwzoDUaVffgrThEBe2sl74kKG0/edit?usp=sharing"",""สุพรรณบุรี!M310"")+IMPORTRANGE(""https://docs.google.com/spreadsheets/d/1BmIruG_sIrJLYao_Pdr7zVArWsf"&amp;"oBt2692TMi6x_854/edit?usp=sharing"",""อ่างทอง!M310"")"),0)</f>
        <v>0</v>
      </c>
      <c r="N310" s="59">
        <f ca="1">IFERROR(__xludf.DUMMYFUNCTION("IMPORTRANGE(""https://docs.google.com/spreadsheets/d/13wPX838HrBrQMCywv1BsuMkt4PEKTChp52zj44s2izQ/edit?usp=sharing"",""กาญจนบุรี!N310"")+IMPORTRANGE(""https://docs.google.com/spreadsheets/d/1ddFKvqj1W1NEiWytbGlB1zMx_ykJDVtmfEQ-6-lIUBA/edit?usp=sharing"","&amp;"""จันทบุรี!N310"")+IMPORTRANGE(""https://docs.google.com/spreadsheets/d/1T1PQvRODqOBZk8BRht_U031fIS1beLA0Ub2CEytj2q0/edit?usp=sharing"",""ฉะเชิงเทรา!N310"")+IMPORTRANGE(""https://docs.google.com/spreadsheets/d/11tr1B-Bhyr79v2bkwVh5h_fR-PStkgjlZtkrZpYurG0/"&amp;"edit?usp=sharing"",""ชลบุรี!N310"")+IMPORTRANGE(""https://docs.google.com/spreadsheets/d/1hh-FVnSX0vozXhGluamEcS54Dw9_zqW0N7qJUWgJ0Sw/edit?usp=sharing"",""ชัยนาท!N310"")+IMPORTRANGE(""https://docs.google.com/spreadsheets/d/1jkqa6GXxSacMcY1eN8AHjMNJ_7dDXMJ"&amp;"VRLDlaFSOdPM/edit?usp=sharing"",""ตราด!N310"")+IMPORTRANGE(""https://docs.google.com/spreadsheets/d/18hSgUJ3VwClqi_qtULmmW3cLr0oe3OKaSYoKzdpTsYQ/edit?usp=sharing"",""นครนายก!N310"")+IMPORTRANGE(""https://docs.google.com/spreadsheets/d/1YTZo6WM2dQ6Ix6FSdnL"&amp;"5P7uVnVKu40sxZu975tgG10E/edit?usp=sharing"",""นครปฐม!N310"")+IMPORTRANGE(""https://docs.google.com/spreadsheets/d/1OYoGg4WDg5RIzwGeB10padOxJF9E_Vljuvvct_M7RDo/edit?usp=sharing"",""ปทุมธานี!N310"")+IMPORTRANGE(""https://docs.google.com/spreadsheets/d/1GbCI"&amp;"E4D4wk9FUozzqk7SxfDMxDVBwVmI5zcaVUSzKAc/edit?usp=sharing"",""ประจวบคีรีขันธ์!N310"")+IMPORTRANGE(""https://docs.google.com/spreadsheets/d/1vVf6wykvW_lAyu7Yo9L4hUTqHqIeP_qcVuxCtosJEbg/edit?usp=sharing"",""ปราจีนบุรี!N310"")+IMPORTRANGE(""https://docs.googl"&amp;"e.com/spreadsheets/d/1BIDqLLg5jk3v59G8NlR8rk5xfQDKne0sAvZHSj7TI6I/edit?usp=sharing"",""พระนครศรีอยุธยา!N310"")+IMPORTRANGE(""https://docs.google.com/spreadsheets/d/1YXvxf8Yu6_rV4hTBrwMqAcAnv6DfhUxh5emyM3CJp_w/edit?usp=sharing"",""เพชรบุรี!N310"")+IMPORTRA"&amp;"NGE(""https://docs.google.com/spreadsheets/d/19KBlQQs7uwvsao6t2n-KvW3Ax8J8uRRfZPq1zPbXgKc/edit?usp=sharing"",""ระยอง!N310"")+IMPORTRANGE(""https://docs.google.com/spreadsheets/d/1jQ6P4QcrGM89YfqcC_PxOHGCMq5ezhucwJd8ci-NHng/edit?usp=sharing"",""ราชบุรี!N31"&amp;"0"")+IMPORTRANGE(""https://docs.google.com/spreadsheets/d/1lufeA2cfFqM-elVq2hznhDzC6Pr7wkJ9ZG_sYNGCMCU/edit?usp=sharing"",""ลพบุรี!N310"")+IMPORTRANGE(""https://docs.google.com/spreadsheets/d/10oOiF7loTyfsTkbd4MpaIm0HQ9SwB7IYHdIUvt-U1Uc/edit?usp=sharing"""&amp;",""สระแก้ว!N310"")+IMPORTRANGE(""https://docs.google.com/spreadsheets/d/1xmPlrr1QbdSIKvl1dWUl9K4PjAfSL9oeMr_37QVzcxc/edit?usp=sharing"",""สระบุรี!N310"")+IMPORTRANGE(""https://docs.google.com/spreadsheets/d/1j51vR6CYVGhABJpv6tkstgok82RLpXieLzW1yOY5rHw/edi"&amp;"t?usp=sharing"",""สิงห์บุรี!N310"")+IMPORTRANGE(""https://docs.google.com/spreadsheets/d/1H1EalTWKUSzO4Z1-1CwzoDUaVffgrThEBe2sl74kKG0/edit?usp=sharing"",""สุพรรณบุรี!N310"")+IMPORTRANGE(""https://docs.google.com/spreadsheets/d/1BmIruG_sIrJLYao_Pdr7zVArWsf"&amp;"oBt2692TMi6x_854/edit?usp=sharing"",""อ่างทอง!N310"")"),0)</f>
        <v>0</v>
      </c>
      <c r="O310" s="59">
        <f t="shared" ca="1" si="129"/>
        <v>0</v>
      </c>
      <c r="P310" s="59">
        <f t="shared" ca="1" si="130"/>
        <v>0</v>
      </c>
    </row>
    <row r="311" spans="1:16" ht="18.75" x14ac:dyDescent="0.25">
      <c r="A311" s="157"/>
      <c r="B311" s="53"/>
      <c r="C311" s="53"/>
      <c r="D311" s="53"/>
      <c r="E311" s="60" t="s">
        <v>19</v>
      </c>
      <c r="F311" s="53"/>
      <c r="G311" s="55"/>
      <c r="H311" s="166" t="s">
        <v>12</v>
      </c>
      <c r="I311" s="164"/>
      <c r="J311" s="164"/>
      <c r="K311" s="165"/>
      <c r="L311" s="59">
        <f ca="1">IFERROR(__xludf.DUMMYFUNCTION("IMPORTRANGE(""https://docs.google.com/spreadsheets/d/13wPX838HrBrQMCywv1BsuMkt4PEKTChp52zj44s2izQ/edit?usp=sharing"",""กาญจนบุรี!L311"")+IMPORTRANGE(""https://docs.google.com/spreadsheets/d/1ddFKvqj1W1NEiWytbGlB1zMx_ykJDVtmfEQ-6-lIUBA/edit?usp=sharing"","&amp;"""จันทบุรี!L311"")+IMPORTRANGE(""https://docs.google.com/spreadsheets/d/1T1PQvRODqOBZk8BRht_U031fIS1beLA0Ub2CEytj2q0/edit?usp=sharing"",""ฉะเชิงเทรา!L311"")+IMPORTRANGE(""https://docs.google.com/spreadsheets/d/11tr1B-Bhyr79v2bkwVh5h_fR-PStkgjlZtkrZpYurG0/"&amp;"edit?usp=sharing"",""ชลบุรี!L311"")+IMPORTRANGE(""https://docs.google.com/spreadsheets/d/1hh-FVnSX0vozXhGluamEcS54Dw9_zqW0N7qJUWgJ0Sw/edit?usp=sharing"",""ชัยนาท!L311"")+IMPORTRANGE(""https://docs.google.com/spreadsheets/d/1jkqa6GXxSacMcY1eN8AHjMNJ_7dDXMJ"&amp;"VRLDlaFSOdPM/edit?usp=sharing"",""ตราด!L311"")+IMPORTRANGE(""https://docs.google.com/spreadsheets/d/18hSgUJ3VwClqi_qtULmmW3cLr0oe3OKaSYoKzdpTsYQ/edit?usp=sharing"",""นครนายก!L311"")+IMPORTRANGE(""https://docs.google.com/spreadsheets/d/1YTZo6WM2dQ6Ix6FSdnL"&amp;"5P7uVnVKu40sxZu975tgG10E/edit?usp=sharing"",""นครปฐม!L311"")+IMPORTRANGE(""https://docs.google.com/spreadsheets/d/1OYoGg4WDg5RIzwGeB10padOxJF9E_Vljuvvct_M7RDo/edit?usp=sharing"",""ปทุมธานี!L311"")+IMPORTRANGE(""https://docs.google.com/spreadsheets/d/1GbCI"&amp;"E4D4wk9FUozzqk7SxfDMxDVBwVmI5zcaVUSzKAc/edit?usp=sharing"",""ประจวบคีรีขันธ์!L311"")+IMPORTRANGE(""https://docs.google.com/spreadsheets/d/1vVf6wykvW_lAyu7Yo9L4hUTqHqIeP_qcVuxCtosJEbg/edit?usp=sharing"",""ปราจีนบุรี!L311"")+IMPORTRANGE(""https://docs.googl"&amp;"e.com/spreadsheets/d/1BIDqLLg5jk3v59G8NlR8rk5xfQDKne0sAvZHSj7TI6I/edit?usp=sharing"",""พระนครศรีอยุธยา!L311"")+IMPORTRANGE(""https://docs.google.com/spreadsheets/d/1YXvxf8Yu6_rV4hTBrwMqAcAnv6DfhUxh5emyM3CJp_w/edit?usp=sharing"",""เพชรบุรี!L311"")+IMPORTRA"&amp;"NGE(""https://docs.google.com/spreadsheets/d/19KBlQQs7uwvsao6t2n-KvW3Ax8J8uRRfZPq1zPbXgKc/edit?usp=sharing"",""ระยอง!L311"")+IMPORTRANGE(""https://docs.google.com/spreadsheets/d/1jQ6P4QcrGM89YfqcC_PxOHGCMq5ezhucwJd8ci-NHng/edit?usp=sharing"",""ราชบุรี!L31"&amp;"1"")+IMPORTRANGE(""https://docs.google.com/spreadsheets/d/1lufeA2cfFqM-elVq2hznhDzC6Pr7wkJ9ZG_sYNGCMCU/edit?usp=sharing"",""ลพบุรี!L311"")+IMPORTRANGE(""https://docs.google.com/spreadsheets/d/10oOiF7loTyfsTkbd4MpaIm0HQ9SwB7IYHdIUvt-U1Uc/edit?usp=sharing"""&amp;",""สระแก้ว!L311"")+IMPORTRANGE(""https://docs.google.com/spreadsheets/d/1xmPlrr1QbdSIKvl1dWUl9K4PjAfSL9oeMr_37QVzcxc/edit?usp=sharing"",""สระบุรี!L311"")+IMPORTRANGE(""https://docs.google.com/spreadsheets/d/1j51vR6CYVGhABJpv6tkstgok82RLpXieLzW1yOY5rHw/edi"&amp;"t?usp=sharing"",""สิงห์บุรี!L311"")+IMPORTRANGE(""https://docs.google.com/spreadsheets/d/1H1EalTWKUSzO4Z1-1CwzoDUaVffgrThEBe2sl74kKG0/edit?usp=sharing"",""สุพรรณบุรี!L311"")+IMPORTRANGE(""https://docs.google.com/spreadsheets/d/1BmIruG_sIrJLYao_Pdr7zVArWsf"&amp;"oBt2692TMi6x_854/edit?usp=sharing"",""อ่างทอง!L311"")"),0)</f>
        <v>0</v>
      </c>
      <c r="M311" s="59">
        <f ca="1">IFERROR(__xludf.DUMMYFUNCTION("IMPORTRANGE(""https://docs.google.com/spreadsheets/d/13wPX838HrBrQMCywv1BsuMkt4PEKTChp52zj44s2izQ/edit?usp=sharing"",""กาญจนบุรี!M311"")+IMPORTRANGE(""https://docs.google.com/spreadsheets/d/1ddFKvqj1W1NEiWytbGlB1zMx_ykJDVtmfEQ-6-lIUBA/edit?usp=sharing"","&amp;"""จันทบุรี!M311"")+IMPORTRANGE(""https://docs.google.com/spreadsheets/d/1T1PQvRODqOBZk8BRht_U031fIS1beLA0Ub2CEytj2q0/edit?usp=sharing"",""ฉะเชิงเทรา!M311"")+IMPORTRANGE(""https://docs.google.com/spreadsheets/d/11tr1B-Bhyr79v2bkwVh5h_fR-PStkgjlZtkrZpYurG0/"&amp;"edit?usp=sharing"",""ชลบุรี!M311"")+IMPORTRANGE(""https://docs.google.com/spreadsheets/d/1hh-FVnSX0vozXhGluamEcS54Dw9_zqW0N7qJUWgJ0Sw/edit?usp=sharing"",""ชัยนาท!M311"")+IMPORTRANGE(""https://docs.google.com/spreadsheets/d/1jkqa6GXxSacMcY1eN8AHjMNJ_7dDXMJ"&amp;"VRLDlaFSOdPM/edit?usp=sharing"",""ตราด!M311"")+IMPORTRANGE(""https://docs.google.com/spreadsheets/d/18hSgUJ3VwClqi_qtULmmW3cLr0oe3OKaSYoKzdpTsYQ/edit?usp=sharing"",""นครนายก!M311"")+IMPORTRANGE(""https://docs.google.com/spreadsheets/d/1YTZo6WM2dQ6Ix6FSdnL"&amp;"5P7uVnVKu40sxZu975tgG10E/edit?usp=sharing"",""นครปฐม!M311"")+IMPORTRANGE(""https://docs.google.com/spreadsheets/d/1OYoGg4WDg5RIzwGeB10padOxJF9E_Vljuvvct_M7RDo/edit?usp=sharing"",""ปทุมธานี!M311"")+IMPORTRANGE(""https://docs.google.com/spreadsheets/d/1GbCI"&amp;"E4D4wk9FUozzqk7SxfDMxDVBwVmI5zcaVUSzKAc/edit?usp=sharing"",""ประจวบคีรีขันธ์!M311"")+IMPORTRANGE(""https://docs.google.com/spreadsheets/d/1vVf6wykvW_lAyu7Yo9L4hUTqHqIeP_qcVuxCtosJEbg/edit?usp=sharing"",""ปราจีนบุรี!M311"")+IMPORTRANGE(""https://docs.googl"&amp;"e.com/spreadsheets/d/1BIDqLLg5jk3v59G8NlR8rk5xfQDKne0sAvZHSj7TI6I/edit?usp=sharing"",""พระนครศรีอยุธยา!M311"")+IMPORTRANGE(""https://docs.google.com/spreadsheets/d/1YXvxf8Yu6_rV4hTBrwMqAcAnv6DfhUxh5emyM3CJp_w/edit?usp=sharing"",""เพชรบุรี!M311"")+IMPORTRA"&amp;"NGE(""https://docs.google.com/spreadsheets/d/19KBlQQs7uwvsao6t2n-KvW3Ax8J8uRRfZPq1zPbXgKc/edit?usp=sharing"",""ระยอง!M311"")+IMPORTRANGE(""https://docs.google.com/spreadsheets/d/1jQ6P4QcrGM89YfqcC_PxOHGCMq5ezhucwJd8ci-NHng/edit?usp=sharing"",""ราชบุรี!M31"&amp;"1"")+IMPORTRANGE(""https://docs.google.com/spreadsheets/d/1lufeA2cfFqM-elVq2hznhDzC6Pr7wkJ9ZG_sYNGCMCU/edit?usp=sharing"",""ลพบุรี!M311"")+IMPORTRANGE(""https://docs.google.com/spreadsheets/d/10oOiF7loTyfsTkbd4MpaIm0HQ9SwB7IYHdIUvt-U1Uc/edit?usp=sharing"""&amp;",""สระแก้ว!M311"")+IMPORTRANGE(""https://docs.google.com/spreadsheets/d/1xmPlrr1QbdSIKvl1dWUl9K4PjAfSL9oeMr_37QVzcxc/edit?usp=sharing"",""สระบุรี!M311"")+IMPORTRANGE(""https://docs.google.com/spreadsheets/d/1j51vR6CYVGhABJpv6tkstgok82RLpXieLzW1yOY5rHw/edi"&amp;"t?usp=sharing"",""สิงห์บุรี!M311"")+IMPORTRANGE(""https://docs.google.com/spreadsheets/d/1H1EalTWKUSzO4Z1-1CwzoDUaVffgrThEBe2sl74kKG0/edit?usp=sharing"",""สุพรรณบุรี!M311"")+IMPORTRANGE(""https://docs.google.com/spreadsheets/d/1BmIruG_sIrJLYao_Pdr7zVArWsf"&amp;"oBt2692TMi6x_854/edit?usp=sharing"",""อ่างทอง!M311"")"),0)</f>
        <v>0</v>
      </c>
      <c r="N311" s="59">
        <f ca="1">IFERROR(__xludf.DUMMYFUNCTION("IMPORTRANGE(""https://docs.google.com/spreadsheets/d/13wPX838HrBrQMCywv1BsuMkt4PEKTChp52zj44s2izQ/edit?usp=sharing"",""กาญจนบุรี!N311"")+IMPORTRANGE(""https://docs.google.com/spreadsheets/d/1ddFKvqj1W1NEiWytbGlB1zMx_ykJDVtmfEQ-6-lIUBA/edit?usp=sharing"","&amp;"""จันทบุรี!N311"")+IMPORTRANGE(""https://docs.google.com/spreadsheets/d/1T1PQvRODqOBZk8BRht_U031fIS1beLA0Ub2CEytj2q0/edit?usp=sharing"",""ฉะเชิงเทรา!N311"")+IMPORTRANGE(""https://docs.google.com/spreadsheets/d/11tr1B-Bhyr79v2bkwVh5h_fR-PStkgjlZtkrZpYurG0/"&amp;"edit?usp=sharing"",""ชลบุรี!N311"")+IMPORTRANGE(""https://docs.google.com/spreadsheets/d/1hh-FVnSX0vozXhGluamEcS54Dw9_zqW0N7qJUWgJ0Sw/edit?usp=sharing"",""ชัยนาท!N311"")+IMPORTRANGE(""https://docs.google.com/spreadsheets/d/1jkqa6GXxSacMcY1eN8AHjMNJ_7dDXMJ"&amp;"VRLDlaFSOdPM/edit?usp=sharing"",""ตราด!N311"")+IMPORTRANGE(""https://docs.google.com/spreadsheets/d/18hSgUJ3VwClqi_qtULmmW3cLr0oe3OKaSYoKzdpTsYQ/edit?usp=sharing"",""นครนายก!N311"")+IMPORTRANGE(""https://docs.google.com/spreadsheets/d/1YTZo6WM2dQ6Ix6FSdnL"&amp;"5P7uVnVKu40sxZu975tgG10E/edit?usp=sharing"",""นครปฐม!N311"")+IMPORTRANGE(""https://docs.google.com/spreadsheets/d/1OYoGg4WDg5RIzwGeB10padOxJF9E_Vljuvvct_M7RDo/edit?usp=sharing"",""ปทุมธานี!N311"")+IMPORTRANGE(""https://docs.google.com/spreadsheets/d/1GbCI"&amp;"E4D4wk9FUozzqk7SxfDMxDVBwVmI5zcaVUSzKAc/edit?usp=sharing"",""ประจวบคีรีขันธ์!N311"")+IMPORTRANGE(""https://docs.google.com/spreadsheets/d/1vVf6wykvW_lAyu7Yo9L4hUTqHqIeP_qcVuxCtosJEbg/edit?usp=sharing"",""ปราจีนบุรี!N311"")+IMPORTRANGE(""https://docs.googl"&amp;"e.com/spreadsheets/d/1BIDqLLg5jk3v59G8NlR8rk5xfQDKne0sAvZHSj7TI6I/edit?usp=sharing"",""พระนครศรีอยุธยา!N311"")+IMPORTRANGE(""https://docs.google.com/spreadsheets/d/1YXvxf8Yu6_rV4hTBrwMqAcAnv6DfhUxh5emyM3CJp_w/edit?usp=sharing"",""เพชรบุรี!N311"")+IMPORTRA"&amp;"NGE(""https://docs.google.com/spreadsheets/d/19KBlQQs7uwvsao6t2n-KvW3Ax8J8uRRfZPq1zPbXgKc/edit?usp=sharing"",""ระยอง!N311"")+IMPORTRANGE(""https://docs.google.com/spreadsheets/d/1jQ6P4QcrGM89YfqcC_PxOHGCMq5ezhucwJd8ci-NHng/edit?usp=sharing"",""ราชบุรี!N31"&amp;"1"")+IMPORTRANGE(""https://docs.google.com/spreadsheets/d/1lufeA2cfFqM-elVq2hznhDzC6Pr7wkJ9ZG_sYNGCMCU/edit?usp=sharing"",""ลพบุรี!N311"")+IMPORTRANGE(""https://docs.google.com/spreadsheets/d/10oOiF7loTyfsTkbd4MpaIm0HQ9SwB7IYHdIUvt-U1Uc/edit?usp=sharing"""&amp;",""สระแก้ว!N311"")+IMPORTRANGE(""https://docs.google.com/spreadsheets/d/1xmPlrr1QbdSIKvl1dWUl9K4PjAfSL9oeMr_37QVzcxc/edit?usp=sharing"",""สระบุรี!N311"")+IMPORTRANGE(""https://docs.google.com/spreadsheets/d/1j51vR6CYVGhABJpv6tkstgok82RLpXieLzW1yOY5rHw/edi"&amp;"t?usp=sharing"",""สิงห์บุรี!N311"")+IMPORTRANGE(""https://docs.google.com/spreadsheets/d/1H1EalTWKUSzO4Z1-1CwzoDUaVffgrThEBe2sl74kKG0/edit?usp=sharing"",""สุพรรณบุรี!N311"")+IMPORTRANGE(""https://docs.google.com/spreadsheets/d/1BmIruG_sIrJLYao_Pdr7zVArWsf"&amp;"oBt2692TMi6x_854/edit?usp=sharing"",""อ่างทอง!N311"")"),0)</f>
        <v>0</v>
      </c>
      <c r="O311" s="59">
        <f t="shared" ca="1" si="129"/>
        <v>0</v>
      </c>
      <c r="P311" s="59">
        <f t="shared" ca="1" si="130"/>
        <v>0</v>
      </c>
    </row>
    <row r="312" spans="1:16" ht="19.5" x14ac:dyDescent="0.3">
      <c r="A312" s="167"/>
      <c r="B312" s="168"/>
      <c r="C312" s="158" t="s">
        <v>16</v>
      </c>
      <c r="D312" s="169" t="s">
        <v>36</v>
      </c>
      <c r="E312" s="170"/>
      <c r="F312" s="170"/>
      <c r="G312" s="171"/>
      <c r="H312" s="172"/>
      <c r="I312" s="57"/>
      <c r="J312" s="57"/>
      <c r="K312" s="58"/>
      <c r="L312" s="58"/>
      <c r="M312" s="58"/>
      <c r="N312" s="58"/>
      <c r="O312" s="58"/>
      <c r="P312" s="58"/>
    </row>
    <row r="313" spans="1:16" ht="18.75" x14ac:dyDescent="0.25">
      <c r="A313" s="167"/>
      <c r="B313" s="168"/>
      <c r="C313" s="168"/>
      <c r="D313" s="195" t="s">
        <v>121</v>
      </c>
      <c r="E313" s="174"/>
      <c r="F313" s="174"/>
      <c r="G313" s="172"/>
      <c r="H313" s="172"/>
      <c r="I313" s="57"/>
      <c r="J313" s="182">
        <f ca="1">IFERROR(__xludf.DUMMYFUNCTION("IMPORTRANGE(""https://docs.google.com/spreadsheets/d/13wPX838HrBrQMCywv1BsuMkt4PEKTChp52zj44s2izQ/edit?usp=sharing"",""กาญจนบุรี!J313"")+IMPORTRANGE(""https://docs.google.com/spreadsheets/d/1ddFKvqj1W1NEiWytbGlB1zMx_ykJDVtmfEQ-6-lIUBA/edit?usp=sharing"","&amp;"""จันทบุรี!J313"")+IMPORTRANGE(""https://docs.google.com/spreadsheets/d/1T1PQvRODqOBZk8BRht_U031fIS1beLA0Ub2CEytj2q0/edit?usp=sharing"",""ฉะเชิงเทรา!J313"")+IMPORTRANGE(""https://docs.google.com/spreadsheets/d/11tr1B-Bhyr79v2bkwVh5h_fR-PStkgjlZtkrZpYurG0/"&amp;"edit?usp=sharing"",""ชลบุรี!J313"")+IMPORTRANGE(""https://docs.google.com/spreadsheets/d/1hh-FVnSX0vozXhGluamEcS54Dw9_zqW0N7qJUWgJ0Sw/edit?usp=sharing"",""ชัยนาท!J313"")+IMPORTRANGE(""https://docs.google.com/spreadsheets/d/1jkqa6GXxSacMcY1eN8AHjMNJ_7dDXMJ"&amp;"VRLDlaFSOdPM/edit?usp=sharing"",""ตราด!J313"")+IMPORTRANGE(""https://docs.google.com/spreadsheets/d/18hSgUJ3VwClqi_qtULmmW3cLr0oe3OKaSYoKzdpTsYQ/edit?usp=sharing"",""นครนายก!J313"")+IMPORTRANGE(""https://docs.google.com/spreadsheets/d/1YTZo6WM2dQ6Ix6FSdnL"&amp;"5P7uVnVKu40sxZu975tgG10E/edit?usp=sharing"",""นครปฐม!J313"")+IMPORTRANGE(""https://docs.google.com/spreadsheets/d/1OYoGg4WDg5RIzwGeB10padOxJF9E_Vljuvvct_M7RDo/edit?usp=sharing"",""ปทุมธานี!J313"")+IMPORTRANGE(""https://docs.google.com/spreadsheets/d/1GbCI"&amp;"E4D4wk9FUozzqk7SxfDMxDVBwVmI5zcaVUSzKAc/edit?usp=sharing"",""ประจวบคีรีขันธ์!J313"")+IMPORTRANGE(""https://docs.google.com/spreadsheets/d/1vVf6wykvW_lAyu7Yo9L4hUTqHqIeP_qcVuxCtosJEbg/edit?usp=sharing"",""ปราจีนบุรี!J313"")+IMPORTRANGE(""https://docs.googl"&amp;"e.com/spreadsheets/d/1BIDqLLg5jk3v59G8NlR8rk5xfQDKne0sAvZHSj7TI6I/edit?usp=sharing"",""พระนครศรีอยุธยา!J313"")+IMPORTRANGE(""https://docs.google.com/spreadsheets/d/1YXvxf8Yu6_rV4hTBrwMqAcAnv6DfhUxh5emyM3CJp_w/edit?usp=sharing"",""เพชรบุรี!J313"")+IMPORTRA"&amp;"NGE(""https://docs.google.com/spreadsheets/d/19KBlQQs7uwvsao6t2n-KvW3Ax8J8uRRfZPq1zPbXgKc/edit?usp=sharing"",""ระยอง!J313"")+IMPORTRANGE(""https://docs.google.com/spreadsheets/d/1jQ6P4QcrGM89YfqcC_PxOHGCMq5ezhucwJd8ci-NHng/edit?usp=sharing"",""ราชบุรี!J31"&amp;"3"")+IMPORTRANGE(""https://docs.google.com/spreadsheets/d/1lufeA2cfFqM-elVq2hznhDzC6Pr7wkJ9ZG_sYNGCMCU/edit?usp=sharing"",""ลพบุรี!J313"")+IMPORTRANGE(""https://docs.google.com/spreadsheets/d/10oOiF7loTyfsTkbd4MpaIm0HQ9SwB7IYHdIUvt-U1Uc/edit?usp=sharing"""&amp;",""สระแก้ว!J313"")+IMPORTRANGE(""https://docs.google.com/spreadsheets/d/1xmPlrr1QbdSIKvl1dWUl9K4PjAfSL9oeMr_37QVzcxc/edit?usp=sharing"",""สระบุรี!J313"")+IMPORTRANGE(""https://docs.google.com/spreadsheets/d/1j51vR6CYVGhABJpv6tkstgok82RLpXieLzW1yOY5rHw/edi"&amp;"t?usp=sharing"",""สิงห์บุรี!J313"")+IMPORTRANGE(""https://docs.google.com/spreadsheets/d/1H1EalTWKUSzO4Z1-1CwzoDUaVffgrThEBe2sl74kKG0/edit?usp=sharing"",""สุพรรณบุรี!J313"")+IMPORTRANGE(""https://docs.google.com/spreadsheets/d/1BmIruG_sIrJLYao_Pdr7zVArWsf"&amp;"oBt2692TMi6x_854/edit?usp=sharing"",""อ่างทอง!J313"")"),0)</f>
        <v>0</v>
      </c>
      <c r="K313" s="58"/>
      <c r="L313" s="58"/>
      <c r="M313" s="58"/>
      <c r="N313" s="58"/>
      <c r="O313" s="58"/>
      <c r="P313" s="58"/>
    </row>
    <row r="314" spans="1:16" ht="18.75" x14ac:dyDescent="0.25">
      <c r="A314" s="167"/>
      <c r="B314" s="168"/>
      <c r="C314" s="168"/>
      <c r="D314" s="179" t="s">
        <v>114</v>
      </c>
      <c r="E314" s="174"/>
      <c r="F314" s="174"/>
      <c r="G314" s="172"/>
      <c r="H314" s="180" t="s">
        <v>33</v>
      </c>
      <c r="I314" s="196">
        <f ca="1">IFERROR(__xludf.DUMMYFUNCTION("IMPORTRANGE(""https://docs.google.com/spreadsheets/d/13wPX838HrBrQMCywv1BsuMkt4PEKTChp52zj44s2izQ/edit?usp=sharing"",""กาญจนบุรี!I314"")+IMPORTRANGE(""https://docs.google.com/spreadsheets/d/1ddFKvqj1W1NEiWytbGlB1zMx_ykJDVtmfEQ-6-lIUBA/edit?usp=sharing"","&amp;"""จันทบุรี!I314"")+IMPORTRANGE(""https://docs.google.com/spreadsheets/d/1T1PQvRODqOBZk8BRht_U031fIS1beLA0Ub2CEytj2q0/edit?usp=sharing"",""ฉะเชิงเทรา!I314"")+IMPORTRANGE(""https://docs.google.com/spreadsheets/d/11tr1B-Bhyr79v2bkwVh5h_fR-PStkgjlZtkrZpYurG0/"&amp;"edit?usp=sharing"",""ชลบุรี!I314"")+IMPORTRANGE(""https://docs.google.com/spreadsheets/d/1hh-FVnSX0vozXhGluamEcS54Dw9_zqW0N7qJUWgJ0Sw/edit?usp=sharing"",""ชัยนาท!I314"")+IMPORTRANGE(""https://docs.google.com/spreadsheets/d/1jkqa6GXxSacMcY1eN8AHjMNJ_7dDXMJ"&amp;"VRLDlaFSOdPM/edit?usp=sharing"",""ตราด!I314"")+IMPORTRANGE(""https://docs.google.com/spreadsheets/d/18hSgUJ3VwClqi_qtULmmW3cLr0oe3OKaSYoKzdpTsYQ/edit?usp=sharing"",""นครนายก!I314"")+IMPORTRANGE(""https://docs.google.com/spreadsheets/d/1YTZo6WM2dQ6Ix6FSdnL"&amp;"5P7uVnVKu40sxZu975tgG10E/edit?usp=sharing"",""นครปฐม!I314"")+IMPORTRANGE(""https://docs.google.com/spreadsheets/d/1OYoGg4WDg5RIzwGeB10padOxJF9E_Vljuvvct_M7RDo/edit?usp=sharing"",""ปทุมธานี!I314"")+IMPORTRANGE(""https://docs.google.com/spreadsheets/d/1GbCI"&amp;"E4D4wk9FUozzqk7SxfDMxDVBwVmI5zcaVUSzKAc/edit?usp=sharing"",""ประจวบคีรีขันธ์!I314"")+IMPORTRANGE(""https://docs.google.com/spreadsheets/d/1vVf6wykvW_lAyu7Yo9L4hUTqHqIeP_qcVuxCtosJEbg/edit?usp=sharing"",""ปราจีนบุรี!I314"")+IMPORTRANGE(""https://docs.googl"&amp;"e.com/spreadsheets/d/1BIDqLLg5jk3v59G8NlR8rk5xfQDKne0sAvZHSj7TI6I/edit?usp=sharing"",""พระนครศรีอยุธยา!I314"")+IMPORTRANGE(""https://docs.google.com/spreadsheets/d/1YXvxf8Yu6_rV4hTBrwMqAcAnv6DfhUxh5emyM3CJp_w/edit?usp=sharing"",""เพชรบุรี!I314"")+IMPORTRA"&amp;"NGE(""https://docs.google.com/spreadsheets/d/19KBlQQs7uwvsao6t2n-KvW3Ax8J8uRRfZPq1zPbXgKc/edit?usp=sharing"",""ระยอง!I314"")+IMPORTRANGE(""https://docs.google.com/spreadsheets/d/1jQ6P4QcrGM89YfqcC_PxOHGCMq5ezhucwJd8ci-NHng/edit?usp=sharing"",""ราชบุรี!I31"&amp;"4"")+IMPORTRANGE(""https://docs.google.com/spreadsheets/d/1lufeA2cfFqM-elVq2hznhDzC6Pr7wkJ9ZG_sYNGCMCU/edit?usp=sharing"",""ลพบุรี!I314"")+IMPORTRANGE(""https://docs.google.com/spreadsheets/d/10oOiF7loTyfsTkbd4MpaIm0HQ9SwB7IYHdIUvt-U1Uc/edit?usp=sharing"""&amp;",""สระแก้ว!I314"")+IMPORTRANGE(""https://docs.google.com/spreadsheets/d/1xmPlrr1QbdSIKvl1dWUl9K4PjAfSL9oeMr_37QVzcxc/edit?usp=sharing"",""สระบุรี!I314"")+IMPORTRANGE(""https://docs.google.com/spreadsheets/d/1j51vR6CYVGhABJpv6tkstgok82RLpXieLzW1yOY5rHw/edi"&amp;"t?usp=sharing"",""สิงห์บุรี!I314"")+IMPORTRANGE(""https://docs.google.com/spreadsheets/d/1H1EalTWKUSzO4Z1-1CwzoDUaVffgrThEBe2sl74kKG0/edit?usp=sharing"",""สุพรรณบุรี!I314"")+IMPORTRANGE(""https://docs.google.com/spreadsheets/d/1BmIruG_sIrJLYao_Pdr7zVArWsf"&amp;"oBt2692TMi6x_854/edit?usp=sharing"",""อ่างทอง!I314"")"),160)</f>
        <v>160</v>
      </c>
      <c r="J314" s="182">
        <f ca="1">IFERROR(__xludf.DUMMYFUNCTION("IMPORTRANGE(""https://docs.google.com/spreadsheets/d/13wPX838HrBrQMCywv1BsuMkt4PEKTChp52zj44s2izQ/edit?usp=sharing"",""กาญจนบุรี!J314"")+IMPORTRANGE(""https://docs.google.com/spreadsheets/d/1ddFKvqj1W1NEiWytbGlB1zMx_ykJDVtmfEQ-6-lIUBA/edit?usp=sharing"","&amp;"""จันทบุรี!J314"")+IMPORTRANGE(""https://docs.google.com/spreadsheets/d/1T1PQvRODqOBZk8BRht_U031fIS1beLA0Ub2CEytj2q0/edit?usp=sharing"",""ฉะเชิงเทรา!J314"")+IMPORTRANGE(""https://docs.google.com/spreadsheets/d/11tr1B-Bhyr79v2bkwVh5h_fR-PStkgjlZtkrZpYurG0/"&amp;"edit?usp=sharing"",""ชลบุรี!J314"")+IMPORTRANGE(""https://docs.google.com/spreadsheets/d/1hh-FVnSX0vozXhGluamEcS54Dw9_zqW0N7qJUWgJ0Sw/edit?usp=sharing"",""ชัยนาท!J314"")+IMPORTRANGE(""https://docs.google.com/spreadsheets/d/1jkqa6GXxSacMcY1eN8AHjMNJ_7dDXMJ"&amp;"VRLDlaFSOdPM/edit?usp=sharing"",""ตราด!J314"")+IMPORTRANGE(""https://docs.google.com/spreadsheets/d/18hSgUJ3VwClqi_qtULmmW3cLr0oe3OKaSYoKzdpTsYQ/edit?usp=sharing"",""นครนายก!J314"")+IMPORTRANGE(""https://docs.google.com/spreadsheets/d/1YTZo6WM2dQ6Ix6FSdnL"&amp;"5P7uVnVKu40sxZu975tgG10E/edit?usp=sharing"",""นครปฐม!J314"")+IMPORTRANGE(""https://docs.google.com/spreadsheets/d/1OYoGg4WDg5RIzwGeB10padOxJF9E_Vljuvvct_M7RDo/edit?usp=sharing"",""ปทุมธานี!J314"")+IMPORTRANGE(""https://docs.google.com/spreadsheets/d/1GbCI"&amp;"E4D4wk9FUozzqk7SxfDMxDVBwVmI5zcaVUSzKAc/edit?usp=sharing"",""ประจวบคีรีขันธ์!J314"")+IMPORTRANGE(""https://docs.google.com/spreadsheets/d/1vVf6wykvW_lAyu7Yo9L4hUTqHqIeP_qcVuxCtosJEbg/edit?usp=sharing"",""ปราจีนบุรี!J314"")+IMPORTRANGE(""https://docs.googl"&amp;"e.com/spreadsheets/d/1BIDqLLg5jk3v59G8NlR8rk5xfQDKne0sAvZHSj7TI6I/edit?usp=sharing"",""พระนครศรีอยุธยา!J314"")+IMPORTRANGE(""https://docs.google.com/spreadsheets/d/1YXvxf8Yu6_rV4hTBrwMqAcAnv6DfhUxh5emyM3CJp_w/edit?usp=sharing"",""เพชรบุรี!J314"")+IMPORTRA"&amp;"NGE(""https://docs.google.com/spreadsheets/d/19KBlQQs7uwvsao6t2n-KvW3Ax8J8uRRfZPq1zPbXgKc/edit?usp=sharing"",""ระยอง!J314"")+IMPORTRANGE(""https://docs.google.com/spreadsheets/d/1jQ6P4QcrGM89YfqcC_PxOHGCMq5ezhucwJd8ci-NHng/edit?usp=sharing"",""ราชบุรี!J31"&amp;"4"")+IMPORTRANGE(""https://docs.google.com/spreadsheets/d/1lufeA2cfFqM-elVq2hznhDzC6Pr7wkJ9ZG_sYNGCMCU/edit?usp=sharing"",""ลพบุรี!J314"")+IMPORTRANGE(""https://docs.google.com/spreadsheets/d/10oOiF7loTyfsTkbd4MpaIm0HQ9SwB7IYHdIUvt-U1Uc/edit?usp=sharing"""&amp;",""สระแก้ว!J314"")+IMPORTRANGE(""https://docs.google.com/spreadsheets/d/1xmPlrr1QbdSIKvl1dWUl9K4PjAfSL9oeMr_37QVzcxc/edit?usp=sharing"",""สระบุรี!J314"")+IMPORTRANGE(""https://docs.google.com/spreadsheets/d/1j51vR6CYVGhABJpv6tkstgok82RLpXieLzW1yOY5rHw/edi"&amp;"t?usp=sharing"",""สิงห์บุรี!J314"")+IMPORTRANGE(""https://docs.google.com/spreadsheets/d/1H1EalTWKUSzO4Z1-1CwzoDUaVffgrThEBe2sl74kKG0/edit?usp=sharing"",""สุพรรณบุรี!J314"")+IMPORTRANGE(""https://docs.google.com/spreadsheets/d/1BmIruG_sIrJLYao_Pdr7zVArWsf"&amp;"oBt2692TMi6x_854/edit?usp=sharing"",""อ่างทอง!J314"")"),0)</f>
        <v>0</v>
      </c>
      <c r="K314" s="59">
        <f t="shared" ref="K314:K317" ca="1" si="135">IF(I314&gt;0,J314*100/I314,0)</f>
        <v>0</v>
      </c>
      <c r="L314" s="58"/>
      <c r="M314" s="58"/>
      <c r="N314" s="58"/>
      <c r="O314" s="58"/>
      <c r="P314" s="58"/>
    </row>
    <row r="315" spans="1:16" ht="18.75" x14ac:dyDescent="0.25">
      <c r="A315" s="167"/>
      <c r="B315" s="168"/>
      <c r="C315" s="168"/>
      <c r="D315" s="179" t="s">
        <v>122</v>
      </c>
      <c r="E315" s="174"/>
      <c r="F315" s="174"/>
      <c r="G315" s="172"/>
      <c r="H315" s="180" t="s">
        <v>33</v>
      </c>
      <c r="I315" s="196">
        <f ca="1">IFERROR(__xludf.DUMMYFUNCTION("IMPORTRANGE(""https://docs.google.com/spreadsheets/d/13wPX838HrBrQMCywv1BsuMkt4PEKTChp52zj44s2izQ/edit?usp=sharing"",""กาญจนบุรี!I315"")+IMPORTRANGE(""https://docs.google.com/spreadsheets/d/1ddFKvqj1W1NEiWytbGlB1zMx_ykJDVtmfEQ-6-lIUBA/edit?usp=sharing"","&amp;"""จันทบุรี!I315"")+IMPORTRANGE(""https://docs.google.com/spreadsheets/d/1T1PQvRODqOBZk8BRht_U031fIS1beLA0Ub2CEytj2q0/edit?usp=sharing"",""ฉะเชิงเทรา!I315"")+IMPORTRANGE(""https://docs.google.com/spreadsheets/d/11tr1B-Bhyr79v2bkwVh5h_fR-PStkgjlZtkrZpYurG0/"&amp;"edit?usp=sharing"",""ชลบุรี!I315"")+IMPORTRANGE(""https://docs.google.com/spreadsheets/d/1hh-FVnSX0vozXhGluamEcS54Dw9_zqW0N7qJUWgJ0Sw/edit?usp=sharing"",""ชัยนาท!I315"")+IMPORTRANGE(""https://docs.google.com/spreadsheets/d/1jkqa6GXxSacMcY1eN8AHjMNJ_7dDXMJ"&amp;"VRLDlaFSOdPM/edit?usp=sharing"",""ตราด!I315"")+IMPORTRANGE(""https://docs.google.com/spreadsheets/d/18hSgUJ3VwClqi_qtULmmW3cLr0oe3OKaSYoKzdpTsYQ/edit?usp=sharing"",""นครนายก!I315"")+IMPORTRANGE(""https://docs.google.com/spreadsheets/d/1YTZo6WM2dQ6Ix6FSdnL"&amp;"5P7uVnVKu40sxZu975tgG10E/edit?usp=sharing"",""นครปฐม!I315"")+IMPORTRANGE(""https://docs.google.com/spreadsheets/d/1OYoGg4WDg5RIzwGeB10padOxJF9E_Vljuvvct_M7RDo/edit?usp=sharing"",""ปทุมธานี!I315"")+IMPORTRANGE(""https://docs.google.com/spreadsheets/d/1GbCI"&amp;"E4D4wk9FUozzqk7SxfDMxDVBwVmI5zcaVUSzKAc/edit?usp=sharing"",""ประจวบคีรีขันธ์!I315"")+IMPORTRANGE(""https://docs.google.com/spreadsheets/d/1vVf6wykvW_lAyu7Yo9L4hUTqHqIeP_qcVuxCtosJEbg/edit?usp=sharing"",""ปราจีนบุรี!I315"")+IMPORTRANGE(""https://docs.googl"&amp;"e.com/spreadsheets/d/1BIDqLLg5jk3v59G8NlR8rk5xfQDKne0sAvZHSj7TI6I/edit?usp=sharing"",""พระนครศรีอยุธยา!I315"")+IMPORTRANGE(""https://docs.google.com/spreadsheets/d/1YXvxf8Yu6_rV4hTBrwMqAcAnv6DfhUxh5emyM3CJp_w/edit?usp=sharing"",""เพชรบุรี!I315"")+IMPORTRA"&amp;"NGE(""https://docs.google.com/spreadsheets/d/19KBlQQs7uwvsao6t2n-KvW3Ax8J8uRRfZPq1zPbXgKc/edit?usp=sharing"",""ระยอง!I315"")+IMPORTRANGE(""https://docs.google.com/spreadsheets/d/1jQ6P4QcrGM89YfqcC_PxOHGCMq5ezhucwJd8ci-NHng/edit?usp=sharing"",""ราชบุรี!I31"&amp;"5"")+IMPORTRANGE(""https://docs.google.com/spreadsheets/d/1lufeA2cfFqM-elVq2hznhDzC6Pr7wkJ9ZG_sYNGCMCU/edit?usp=sharing"",""ลพบุรี!I315"")+IMPORTRANGE(""https://docs.google.com/spreadsheets/d/10oOiF7loTyfsTkbd4MpaIm0HQ9SwB7IYHdIUvt-U1Uc/edit?usp=sharing"""&amp;",""สระแก้ว!I315"")+IMPORTRANGE(""https://docs.google.com/spreadsheets/d/1xmPlrr1QbdSIKvl1dWUl9K4PjAfSL9oeMr_37QVzcxc/edit?usp=sharing"",""สระบุรี!I315"")+IMPORTRANGE(""https://docs.google.com/spreadsheets/d/1j51vR6CYVGhABJpv6tkstgok82RLpXieLzW1yOY5rHw/edi"&amp;"t?usp=sharing"",""สิงห์บุรี!I315"")+IMPORTRANGE(""https://docs.google.com/spreadsheets/d/1H1EalTWKUSzO4Z1-1CwzoDUaVffgrThEBe2sl74kKG0/edit?usp=sharing"",""สุพรรณบุรี!I315"")+IMPORTRANGE(""https://docs.google.com/spreadsheets/d/1BmIruG_sIrJLYao_Pdr7zVArWsf"&amp;"oBt2692TMi6x_854/edit?usp=sharing"",""อ่างทอง!I315"")"),32)</f>
        <v>32</v>
      </c>
      <c r="J315" s="182">
        <f ca="1">IFERROR(__xludf.DUMMYFUNCTION("IMPORTRANGE(""https://docs.google.com/spreadsheets/d/13wPX838HrBrQMCywv1BsuMkt4PEKTChp52zj44s2izQ/edit?usp=sharing"",""กาญจนบุรี!J315"")+IMPORTRANGE(""https://docs.google.com/spreadsheets/d/1ddFKvqj1W1NEiWytbGlB1zMx_ykJDVtmfEQ-6-lIUBA/edit?usp=sharing"","&amp;"""จันทบุรี!J315"")+IMPORTRANGE(""https://docs.google.com/spreadsheets/d/1T1PQvRODqOBZk8BRht_U031fIS1beLA0Ub2CEytj2q0/edit?usp=sharing"",""ฉะเชิงเทรา!J315"")+IMPORTRANGE(""https://docs.google.com/spreadsheets/d/11tr1B-Bhyr79v2bkwVh5h_fR-PStkgjlZtkrZpYurG0/"&amp;"edit?usp=sharing"",""ชลบุรี!J315"")+IMPORTRANGE(""https://docs.google.com/spreadsheets/d/1hh-FVnSX0vozXhGluamEcS54Dw9_zqW0N7qJUWgJ0Sw/edit?usp=sharing"",""ชัยนาท!J315"")+IMPORTRANGE(""https://docs.google.com/spreadsheets/d/1jkqa6GXxSacMcY1eN8AHjMNJ_7dDXMJ"&amp;"VRLDlaFSOdPM/edit?usp=sharing"",""ตราด!J315"")+IMPORTRANGE(""https://docs.google.com/spreadsheets/d/18hSgUJ3VwClqi_qtULmmW3cLr0oe3OKaSYoKzdpTsYQ/edit?usp=sharing"",""นครนายก!J315"")+IMPORTRANGE(""https://docs.google.com/spreadsheets/d/1YTZo6WM2dQ6Ix6FSdnL"&amp;"5P7uVnVKu40sxZu975tgG10E/edit?usp=sharing"",""นครปฐม!J315"")+IMPORTRANGE(""https://docs.google.com/spreadsheets/d/1OYoGg4WDg5RIzwGeB10padOxJF9E_Vljuvvct_M7RDo/edit?usp=sharing"",""ปทุมธานี!J315"")+IMPORTRANGE(""https://docs.google.com/spreadsheets/d/1GbCI"&amp;"E4D4wk9FUozzqk7SxfDMxDVBwVmI5zcaVUSzKAc/edit?usp=sharing"",""ประจวบคีรีขันธ์!J315"")+IMPORTRANGE(""https://docs.google.com/spreadsheets/d/1vVf6wykvW_lAyu7Yo9L4hUTqHqIeP_qcVuxCtosJEbg/edit?usp=sharing"",""ปราจีนบุรี!J315"")+IMPORTRANGE(""https://docs.googl"&amp;"e.com/spreadsheets/d/1BIDqLLg5jk3v59G8NlR8rk5xfQDKne0sAvZHSj7TI6I/edit?usp=sharing"",""พระนครศรีอยุธยา!J315"")+IMPORTRANGE(""https://docs.google.com/spreadsheets/d/1YXvxf8Yu6_rV4hTBrwMqAcAnv6DfhUxh5emyM3CJp_w/edit?usp=sharing"",""เพชรบุรี!J315"")+IMPORTRA"&amp;"NGE(""https://docs.google.com/spreadsheets/d/19KBlQQs7uwvsao6t2n-KvW3Ax8J8uRRfZPq1zPbXgKc/edit?usp=sharing"",""ระยอง!J315"")+IMPORTRANGE(""https://docs.google.com/spreadsheets/d/1jQ6P4QcrGM89YfqcC_PxOHGCMq5ezhucwJd8ci-NHng/edit?usp=sharing"",""ราชบุรี!J31"&amp;"5"")+IMPORTRANGE(""https://docs.google.com/spreadsheets/d/1lufeA2cfFqM-elVq2hznhDzC6Pr7wkJ9ZG_sYNGCMCU/edit?usp=sharing"",""ลพบุรี!J315"")+IMPORTRANGE(""https://docs.google.com/spreadsheets/d/10oOiF7loTyfsTkbd4MpaIm0HQ9SwB7IYHdIUvt-U1Uc/edit?usp=sharing"""&amp;",""สระแก้ว!J315"")+IMPORTRANGE(""https://docs.google.com/spreadsheets/d/1xmPlrr1QbdSIKvl1dWUl9K4PjAfSL9oeMr_37QVzcxc/edit?usp=sharing"",""สระบุรี!J315"")+IMPORTRANGE(""https://docs.google.com/spreadsheets/d/1j51vR6CYVGhABJpv6tkstgok82RLpXieLzW1yOY5rHw/edi"&amp;"t?usp=sharing"",""สิงห์บุรี!J315"")+IMPORTRANGE(""https://docs.google.com/spreadsheets/d/1H1EalTWKUSzO4Z1-1CwzoDUaVffgrThEBe2sl74kKG0/edit?usp=sharing"",""สุพรรณบุรี!J315"")+IMPORTRANGE(""https://docs.google.com/spreadsheets/d/1BmIruG_sIrJLYao_Pdr7zVArWsf"&amp;"oBt2692TMi6x_854/edit?usp=sharing"",""อ่างทอง!J315"")"),0)</f>
        <v>0</v>
      </c>
      <c r="K315" s="59">
        <f t="shared" ca="1" si="135"/>
        <v>0</v>
      </c>
      <c r="L315" s="58"/>
      <c r="M315" s="58"/>
      <c r="N315" s="58"/>
      <c r="O315" s="58"/>
      <c r="P315" s="58"/>
    </row>
    <row r="316" spans="1:16" ht="18.75" x14ac:dyDescent="0.25">
      <c r="A316" s="167"/>
      <c r="B316" s="168"/>
      <c r="C316" s="168"/>
      <c r="D316" s="195" t="s">
        <v>48</v>
      </c>
      <c r="E316" s="174"/>
      <c r="F316" s="174"/>
      <c r="G316" s="172"/>
      <c r="H316" s="180" t="s">
        <v>33</v>
      </c>
      <c r="I316" s="196">
        <f ca="1">IFERROR(__xludf.DUMMYFUNCTION("IMPORTRANGE(""https://docs.google.com/spreadsheets/d/13wPX838HrBrQMCywv1BsuMkt4PEKTChp52zj44s2izQ/edit?usp=sharing"",""กาญจนบุรี!I316"")+IMPORTRANGE(""https://docs.google.com/spreadsheets/d/1ddFKvqj1W1NEiWytbGlB1zMx_ykJDVtmfEQ-6-lIUBA/edit?usp=sharing"","&amp;"""จันทบุรี!I316"")+IMPORTRANGE(""https://docs.google.com/spreadsheets/d/1T1PQvRODqOBZk8BRht_U031fIS1beLA0Ub2CEytj2q0/edit?usp=sharing"",""ฉะเชิงเทรา!I316"")+IMPORTRANGE(""https://docs.google.com/spreadsheets/d/11tr1B-Bhyr79v2bkwVh5h_fR-PStkgjlZtkrZpYurG0/"&amp;"edit?usp=sharing"",""ชลบุรี!I316"")+IMPORTRANGE(""https://docs.google.com/spreadsheets/d/1hh-FVnSX0vozXhGluamEcS54Dw9_zqW0N7qJUWgJ0Sw/edit?usp=sharing"",""ชัยนาท!I316"")+IMPORTRANGE(""https://docs.google.com/spreadsheets/d/1jkqa6GXxSacMcY1eN8AHjMNJ_7dDXMJ"&amp;"VRLDlaFSOdPM/edit?usp=sharing"",""ตราด!I316"")+IMPORTRANGE(""https://docs.google.com/spreadsheets/d/18hSgUJ3VwClqi_qtULmmW3cLr0oe3OKaSYoKzdpTsYQ/edit?usp=sharing"",""นครนายก!I316"")+IMPORTRANGE(""https://docs.google.com/spreadsheets/d/1YTZo6WM2dQ6Ix6FSdnL"&amp;"5P7uVnVKu40sxZu975tgG10E/edit?usp=sharing"",""นครปฐม!I316"")+IMPORTRANGE(""https://docs.google.com/spreadsheets/d/1OYoGg4WDg5RIzwGeB10padOxJF9E_Vljuvvct_M7RDo/edit?usp=sharing"",""ปทุมธานี!I316"")+IMPORTRANGE(""https://docs.google.com/spreadsheets/d/1GbCI"&amp;"E4D4wk9FUozzqk7SxfDMxDVBwVmI5zcaVUSzKAc/edit?usp=sharing"",""ประจวบคีรีขันธ์!I316"")+IMPORTRANGE(""https://docs.google.com/spreadsheets/d/1vVf6wykvW_lAyu7Yo9L4hUTqHqIeP_qcVuxCtosJEbg/edit?usp=sharing"",""ปราจีนบุรี!I316"")+IMPORTRANGE(""https://docs.googl"&amp;"e.com/spreadsheets/d/1BIDqLLg5jk3v59G8NlR8rk5xfQDKne0sAvZHSj7TI6I/edit?usp=sharing"",""พระนครศรีอยุธยา!I316"")+IMPORTRANGE(""https://docs.google.com/spreadsheets/d/1YXvxf8Yu6_rV4hTBrwMqAcAnv6DfhUxh5emyM3CJp_w/edit?usp=sharing"",""เพชรบุรี!I316"")+IMPORTRA"&amp;"NGE(""https://docs.google.com/spreadsheets/d/19KBlQQs7uwvsao6t2n-KvW3Ax8J8uRRfZPq1zPbXgKc/edit?usp=sharing"",""ระยอง!I316"")+IMPORTRANGE(""https://docs.google.com/spreadsheets/d/1jQ6P4QcrGM89YfqcC_PxOHGCMq5ezhucwJd8ci-NHng/edit?usp=sharing"",""ราชบุรี!I31"&amp;"6"")+IMPORTRANGE(""https://docs.google.com/spreadsheets/d/1lufeA2cfFqM-elVq2hznhDzC6Pr7wkJ9ZG_sYNGCMCU/edit?usp=sharing"",""ลพบุรี!I316"")+IMPORTRANGE(""https://docs.google.com/spreadsheets/d/10oOiF7loTyfsTkbd4MpaIm0HQ9SwB7IYHdIUvt-U1Uc/edit?usp=sharing"""&amp;",""สระแก้ว!I316"")+IMPORTRANGE(""https://docs.google.com/spreadsheets/d/1xmPlrr1QbdSIKvl1dWUl9K4PjAfSL9oeMr_37QVzcxc/edit?usp=sharing"",""สระบุรี!I316"")+IMPORTRANGE(""https://docs.google.com/spreadsheets/d/1j51vR6CYVGhABJpv6tkstgok82RLpXieLzW1yOY5rHw/edi"&amp;"t?usp=sharing"",""สิงห์บุรี!I316"")+IMPORTRANGE(""https://docs.google.com/spreadsheets/d/1H1EalTWKUSzO4Z1-1CwzoDUaVffgrThEBe2sl74kKG0/edit?usp=sharing"",""สุพรรณบุรี!I316"")+IMPORTRANGE(""https://docs.google.com/spreadsheets/d/1BmIruG_sIrJLYao_Pdr7zVArWsf"&amp;"oBt2692TMi6x_854/edit?usp=sharing"",""อ่างทอง!I316"")"),160)</f>
        <v>160</v>
      </c>
      <c r="J316" s="182">
        <f ca="1">IFERROR(__xludf.DUMMYFUNCTION("IMPORTRANGE(""https://docs.google.com/spreadsheets/d/13wPX838HrBrQMCywv1BsuMkt4PEKTChp52zj44s2izQ/edit?usp=sharing"",""กาญจนบุรี!J316"")+IMPORTRANGE(""https://docs.google.com/spreadsheets/d/1ddFKvqj1W1NEiWytbGlB1zMx_ykJDVtmfEQ-6-lIUBA/edit?usp=sharing"","&amp;"""จันทบุรี!J316"")+IMPORTRANGE(""https://docs.google.com/spreadsheets/d/1T1PQvRODqOBZk8BRht_U031fIS1beLA0Ub2CEytj2q0/edit?usp=sharing"",""ฉะเชิงเทรา!J316"")+IMPORTRANGE(""https://docs.google.com/spreadsheets/d/11tr1B-Bhyr79v2bkwVh5h_fR-PStkgjlZtkrZpYurG0/"&amp;"edit?usp=sharing"",""ชลบุรี!J316"")+IMPORTRANGE(""https://docs.google.com/spreadsheets/d/1hh-FVnSX0vozXhGluamEcS54Dw9_zqW0N7qJUWgJ0Sw/edit?usp=sharing"",""ชัยนาท!J316"")+IMPORTRANGE(""https://docs.google.com/spreadsheets/d/1jkqa6GXxSacMcY1eN8AHjMNJ_7dDXMJ"&amp;"VRLDlaFSOdPM/edit?usp=sharing"",""ตราด!J316"")+IMPORTRANGE(""https://docs.google.com/spreadsheets/d/18hSgUJ3VwClqi_qtULmmW3cLr0oe3OKaSYoKzdpTsYQ/edit?usp=sharing"",""นครนายก!J316"")+IMPORTRANGE(""https://docs.google.com/spreadsheets/d/1YTZo6WM2dQ6Ix6FSdnL"&amp;"5P7uVnVKu40sxZu975tgG10E/edit?usp=sharing"",""นครปฐม!J316"")+IMPORTRANGE(""https://docs.google.com/spreadsheets/d/1OYoGg4WDg5RIzwGeB10padOxJF9E_Vljuvvct_M7RDo/edit?usp=sharing"",""ปทุมธานี!J316"")+IMPORTRANGE(""https://docs.google.com/spreadsheets/d/1GbCI"&amp;"E4D4wk9FUozzqk7SxfDMxDVBwVmI5zcaVUSzKAc/edit?usp=sharing"",""ประจวบคีรีขันธ์!J316"")+IMPORTRANGE(""https://docs.google.com/spreadsheets/d/1vVf6wykvW_lAyu7Yo9L4hUTqHqIeP_qcVuxCtosJEbg/edit?usp=sharing"",""ปราจีนบุรี!J316"")+IMPORTRANGE(""https://docs.googl"&amp;"e.com/spreadsheets/d/1BIDqLLg5jk3v59G8NlR8rk5xfQDKne0sAvZHSj7TI6I/edit?usp=sharing"",""พระนครศรีอยุธยา!J316"")+IMPORTRANGE(""https://docs.google.com/spreadsheets/d/1YXvxf8Yu6_rV4hTBrwMqAcAnv6DfhUxh5emyM3CJp_w/edit?usp=sharing"",""เพชรบุรี!J316"")+IMPORTRA"&amp;"NGE(""https://docs.google.com/spreadsheets/d/19KBlQQs7uwvsao6t2n-KvW3Ax8J8uRRfZPq1zPbXgKc/edit?usp=sharing"",""ระยอง!J316"")+IMPORTRANGE(""https://docs.google.com/spreadsheets/d/1jQ6P4QcrGM89YfqcC_PxOHGCMq5ezhucwJd8ci-NHng/edit?usp=sharing"",""ราชบุรี!J31"&amp;"6"")+IMPORTRANGE(""https://docs.google.com/spreadsheets/d/1lufeA2cfFqM-elVq2hznhDzC6Pr7wkJ9ZG_sYNGCMCU/edit?usp=sharing"",""ลพบุรี!J316"")+IMPORTRANGE(""https://docs.google.com/spreadsheets/d/10oOiF7loTyfsTkbd4MpaIm0HQ9SwB7IYHdIUvt-U1Uc/edit?usp=sharing"""&amp;",""สระแก้ว!J316"")+IMPORTRANGE(""https://docs.google.com/spreadsheets/d/1xmPlrr1QbdSIKvl1dWUl9K4PjAfSL9oeMr_37QVzcxc/edit?usp=sharing"",""สระบุรี!J316"")+IMPORTRANGE(""https://docs.google.com/spreadsheets/d/1j51vR6CYVGhABJpv6tkstgok82RLpXieLzW1yOY5rHw/edi"&amp;"t?usp=sharing"",""สิงห์บุรี!J316"")+IMPORTRANGE(""https://docs.google.com/spreadsheets/d/1H1EalTWKUSzO4Z1-1CwzoDUaVffgrThEBe2sl74kKG0/edit?usp=sharing"",""สุพรรณบุรี!J316"")+IMPORTRANGE(""https://docs.google.com/spreadsheets/d/1BmIruG_sIrJLYao_Pdr7zVArWsf"&amp;"oBt2692TMi6x_854/edit?usp=sharing"",""อ่างทอง!J316"")"),0)</f>
        <v>0</v>
      </c>
      <c r="K316" s="59">
        <f t="shared" ca="1" si="135"/>
        <v>0</v>
      </c>
      <c r="L316" s="58"/>
      <c r="M316" s="58"/>
      <c r="N316" s="58"/>
      <c r="O316" s="58"/>
      <c r="P316" s="58"/>
    </row>
    <row r="317" spans="1:16" ht="18.75" x14ac:dyDescent="0.25">
      <c r="A317" s="276"/>
      <c r="B317" s="280"/>
      <c r="C317" s="280"/>
      <c r="D317" s="60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13wPX838HrBrQMCywv1BsuMkt4PEKTChp52zj44s2izQ/edit?usp=sharing"",""กาญจนบุรี!I317"")+IMPORTRANGE(""https://docs.google.com/spreadsheets/d/1ddFKvqj1W1NEiWytbGlB1zMx_ykJDVtmfEQ-6-lIUBA/edit?usp=sharing"","&amp;"""จันทบุรี!I317"")+IMPORTRANGE(""https://docs.google.com/spreadsheets/d/1T1PQvRODqOBZk8BRht_U031fIS1beLA0Ub2CEytj2q0/edit?usp=sharing"",""ฉะเชิงเทรา!I317"")+IMPORTRANGE(""https://docs.google.com/spreadsheets/d/11tr1B-Bhyr79v2bkwVh5h_fR-PStkgjlZtkrZpYurG0/"&amp;"edit?usp=sharing"",""ชลบุรี!I317"")+IMPORTRANGE(""https://docs.google.com/spreadsheets/d/1hh-FVnSX0vozXhGluamEcS54Dw9_zqW0N7qJUWgJ0Sw/edit?usp=sharing"",""ชัยนาท!I317"")+IMPORTRANGE(""https://docs.google.com/spreadsheets/d/1jkqa6GXxSacMcY1eN8AHjMNJ_7dDXMJ"&amp;"VRLDlaFSOdPM/edit?usp=sharing"",""ตราด!I317"")+IMPORTRANGE(""https://docs.google.com/spreadsheets/d/18hSgUJ3VwClqi_qtULmmW3cLr0oe3OKaSYoKzdpTsYQ/edit?usp=sharing"",""นครนายก!I317"")+IMPORTRANGE(""https://docs.google.com/spreadsheets/d/1YTZo6WM2dQ6Ix6FSdnL"&amp;"5P7uVnVKu40sxZu975tgG10E/edit?usp=sharing"",""นครปฐม!I317"")+IMPORTRANGE(""https://docs.google.com/spreadsheets/d/1OYoGg4WDg5RIzwGeB10padOxJF9E_Vljuvvct_M7RDo/edit?usp=sharing"",""ปทุมธานี!I317"")+IMPORTRANGE(""https://docs.google.com/spreadsheets/d/1GbCI"&amp;"E4D4wk9FUozzqk7SxfDMxDVBwVmI5zcaVUSzKAc/edit?usp=sharing"",""ประจวบคีรีขันธ์!I317"")+IMPORTRANGE(""https://docs.google.com/spreadsheets/d/1vVf6wykvW_lAyu7Yo9L4hUTqHqIeP_qcVuxCtosJEbg/edit?usp=sharing"",""ปราจีนบุรี!I317"")+IMPORTRANGE(""https://docs.googl"&amp;"e.com/spreadsheets/d/1BIDqLLg5jk3v59G8NlR8rk5xfQDKne0sAvZHSj7TI6I/edit?usp=sharing"",""พระนครศรีอยุธยา!I317"")+IMPORTRANGE(""https://docs.google.com/spreadsheets/d/1YXvxf8Yu6_rV4hTBrwMqAcAnv6DfhUxh5emyM3CJp_w/edit?usp=sharing"",""เพชรบุรี!I317"")+IMPORTRA"&amp;"NGE(""https://docs.google.com/spreadsheets/d/19KBlQQs7uwvsao6t2n-KvW3Ax8J8uRRfZPq1zPbXgKc/edit?usp=sharing"",""ระยอง!I317"")+IMPORTRANGE(""https://docs.google.com/spreadsheets/d/1jQ6P4QcrGM89YfqcC_PxOHGCMq5ezhucwJd8ci-NHng/edit?usp=sharing"",""ราชบุรี!I31"&amp;"7"")+IMPORTRANGE(""https://docs.google.com/spreadsheets/d/1lufeA2cfFqM-elVq2hznhDzC6Pr7wkJ9ZG_sYNGCMCU/edit?usp=sharing"",""ลพบุรี!I317"")+IMPORTRANGE(""https://docs.google.com/spreadsheets/d/10oOiF7loTyfsTkbd4MpaIm0HQ9SwB7IYHdIUvt-U1Uc/edit?usp=sharing"""&amp;",""สระแก้ว!I317"")+IMPORTRANGE(""https://docs.google.com/spreadsheets/d/1xmPlrr1QbdSIKvl1dWUl9K4PjAfSL9oeMr_37QVzcxc/edit?usp=sharing"",""สระบุรี!I317"")+IMPORTRANGE(""https://docs.google.com/spreadsheets/d/1j51vR6CYVGhABJpv6tkstgok82RLpXieLzW1yOY5rHw/edi"&amp;"t?usp=sharing"",""สิงห์บุรี!I317"")+IMPORTRANGE(""https://docs.google.com/spreadsheets/d/1H1EalTWKUSzO4Z1-1CwzoDUaVffgrThEBe2sl74kKG0/edit?usp=sharing"",""สุพรรณบุรี!I317"")+IMPORTRANGE(""https://docs.google.com/spreadsheets/d/1BmIruG_sIrJLYao_Pdr7zVArWsf"&amp;"oBt2692TMi6x_854/edit?usp=sharing"",""อ่างทอง!I317"")"),32)</f>
        <v>32</v>
      </c>
      <c r="J317" s="182">
        <f ca="1">IFERROR(__xludf.DUMMYFUNCTION("IMPORTRANGE(""https://docs.google.com/spreadsheets/d/13wPX838HrBrQMCywv1BsuMkt4PEKTChp52zj44s2izQ/edit?usp=sharing"",""กาญจนบุรี!J317"")+IMPORTRANGE(""https://docs.google.com/spreadsheets/d/1ddFKvqj1W1NEiWytbGlB1zMx_ykJDVtmfEQ-6-lIUBA/edit?usp=sharing"","&amp;"""จันทบุรี!J317"")+IMPORTRANGE(""https://docs.google.com/spreadsheets/d/1T1PQvRODqOBZk8BRht_U031fIS1beLA0Ub2CEytj2q0/edit?usp=sharing"",""ฉะเชิงเทรา!J317"")+IMPORTRANGE(""https://docs.google.com/spreadsheets/d/11tr1B-Bhyr79v2bkwVh5h_fR-PStkgjlZtkrZpYurG0/"&amp;"edit?usp=sharing"",""ชลบุรี!J317"")+IMPORTRANGE(""https://docs.google.com/spreadsheets/d/1hh-FVnSX0vozXhGluamEcS54Dw9_zqW0N7qJUWgJ0Sw/edit?usp=sharing"",""ชัยนาท!J317"")+IMPORTRANGE(""https://docs.google.com/spreadsheets/d/1jkqa6GXxSacMcY1eN8AHjMNJ_7dDXMJ"&amp;"VRLDlaFSOdPM/edit?usp=sharing"",""ตราด!J317"")+IMPORTRANGE(""https://docs.google.com/spreadsheets/d/18hSgUJ3VwClqi_qtULmmW3cLr0oe3OKaSYoKzdpTsYQ/edit?usp=sharing"",""นครนายก!J317"")+IMPORTRANGE(""https://docs.google.com/spreadsheets/d/1YTZo6WM2dQ6Ix6FSdnL"&amp;"5P7uVnVKu40sxZu975tgG10E/edit?usp=sharing"",""นครปฐม!J317"")+IMPORTRANGE(""https://docs.google.com/spreadsheets/d/1OYoGg4WDg5RIzwGeB10padOxJF9E_Vljuvvct_M7RDo/edit?usp=sharing"",""ปทุมธานี!J317"")+IMPORTRANGE(""https://docs.google.com/spreadsheets/d/1GbCI"&amp;"E4D4wk9FUozzqk7SxfDMxDVBwVmI5zcaVUSzKAc/edit?usp=sharing"",""ประจวบคีรีขันธ์!J317"")+IMPORTRANGE(""https://docs.google.com/spreadsheets/d/1vVf6wykvW_lAyu7Yo9L4hUTqHqIeP_qcVuxCtosJEbg/edit?usp=sharing"",""ปราจีนบุรี!J317"")+IMPORTRANGE(""https://docs.googl"&amp;"e.com/spreadsheets/d/1BIDqLLg5jk3v59G8NlR8rk5xfQDKne0sAvZHSj7TI6I/edit?usp=sharing"",""พระนครศรีอยุธยา!J317"")+IMPORTRANGE(""https://docs.google.com/spreadsheets/d/1YXvxf8Yu6_rV4hTBrwMqAcAnv6DfhUxh5emyM3CJp_w/edit?usp=sharing"",""เพชรบุรี!J317"")+IMPORTRA"&amp;"NGE(""https://docs.google.com/spreadsheets/d/19KBlQQs7uwvsao6t2n-KvW3Ax8J8uRRfZPq1zPbXgKc/edit?usp=sharing"",""ระยอง!J317"")+IMPORTRANGE(""https://docs.google.com/spreadsheets/d/1jQ6P4QcrGM89YfqcC_PxOHGCMq5ezhucwJd8ci-NHng/edit?usp=sharing"",""ราชบุรี!J31"&amp;"7"")+IMPORTRANGE(""https://docs.google.com/spreadsheets/d/1lufeA2cfFqM-elVq2hznhDzC6Pr7wkJ9ZG_sYNGCMCU/edit?usp=sharing"",""ลพบุรี!J317"")+IMPORTRANGE(""https://docs.google.com/spreadsheets/d/10oOiF7loTyfsTkbd4MpaIm0HQ9SwB7IYHdIUvt-U1Uc/edit?usp=sharing"""&amp;",""สระแก้ว!J317"")+IMPORTRANGE(""https://docs.google.com/spreadsheets/d/1xmPlrr1QbdSIKvl1dWUl9K4PjAfSL9oeMr_37QVzcxc/edit?usp=sharing"",""สระบุรี!J317"")+IMPORTRANGE(""https://docs.google.com/spreadsheets/d/1j51vR6CYVGhABJpv6tkstgok82RLpXieLzW1yOY5rHw/edi"&amp;"t?usp=sharing"",""สิงห์บุรี!J317"")+IMPORTRANGE(""https://docs.google.com/spreadsheets/d/1H1EalTWKUSzO4Z1-1CwzoDUaVffgrThEBe2sl74kKG0/edit?usp=sharing"",""สุพรรณบุรี!J317"")+IMPORTRANGE(""https://docs.google.com/spreadsheets/d/1BmIruG_sIrJLYao_Pdr7zVArWsf"&amp;"oBt2692TMi6x_854/edit?usp=sharing"",""อ่างทอง!J317"")"),0)</f>
        <v>0</v>
      </c>
      <c r="K317" s="59">
        <f t="shared" ca="1" si="135"/>
        <v>0</v>
      </c>
      <c r="L317" s="58"/>
      <c r="M317" s="58"/>
      <c r="N317" s="58"/>
      <c r="O317" s="58"/>
      <c r="P317" s="58"/>
    </row>
    <row r="318" spans="1:16" ht="19.5" x14ac:dyDescent="0.3">
      <c r="A318" s="386" t="s">
        <v>124</v>
      </c>
      <c r="B318" s="387"/>
      <c r="C318" s="387"/>
      <c r="D318" s="388"/>
      <c r="E318" s="387"/>
      <c r="F318" s="387"/>
      <c r="G318" s="387"/>
      <c r="H318" s="388"/>
      <c r="I318" s="390"/>
      <c r="J318" s="390"/>
      <c r="K318" s="391"/>
      <c r="L318" s="391"/>
      <c r="M318" s="391"/>
      <c r="N318" s="391"/>
      <c r="O318" s="391"/>
      <c r="P318" s="391"/>
    </row>
    <row r="319" spans="1:16" ht="19.5" x14ac:dyDescent="0.3">
      <c r="A319" s="400"/>
      <c r="B319" s="393" t="s">
        <v>125</v>
      </c>
      <c r="C319" s="401"/>
      <c r="D319" s="402"/>
      <c r="E319" s="394"/>
      <c r="F319" s="394"/>
      <c r="G319" s="395"/>
      <c r="H319" s="396" t="s">
        <v>126</v>
      </c>
      <c r="I319" s="397">
        <f t="shared" ref="I319:J319" ca="1" si="136">I330</f>
        <v>3</v>
      </c>
      <c r="J319" s="397">
        <f t="shared" ca="1" si="136"/>
        <v>1</v>
      </c>
      <c r="K319" s="398">
        <f ca="1">IF(I319&gt;0,J319*100/I319,0)</f>
        <v>33.333333333333336</v>
      </c>
      <c r="L319" s="399"/>
      <c r="M319" s="399"/>
      <c r="N319" s="399"/>
      <c r="O319" s="399"/>
      <c r="P319" s="399"/>
    </row>
    <row r="320" spans="1:16" ht="19.5" x14ac:dyDescent="0.3">
      <c r="A320" s="157"/>
      <c r="B320" s="53"/>
      <c r="C320" s="158" t="s">
        <v>16</v>
      </c>
      <c r="D320" s="159" t="s">
        <v>17</v>
      </c>
      <c r="E320" s="53"/>
      <c r="F320" s="53"/>
      <c r="G320" s="55"/>
      <c r="H320" s="160" t="s">
        <v>12</v>
      </c>
      <c r="I320" s="57"/>
      <c r="J320" s="57"/>
      <c r="K320" s="58"/>
      <c r="L320" s="161">
        <f t="shared" ref="L320:N320" ca="1" si="137">L321+L322</f>
        <v>90000</v>
      </c>
      <c r="M320" s="161">
        <f t="shared" ca="1" si="137"/>
        <v>90000</v>
      </c>
      <c r="N320" s="161">
        <f t="shared" ca="1" si="137"/>
        <v>4960</v>
      </c>
      <c r="O320" s="161">
        <f t="shared" ref="O320:O328" ca="1" si="138">IF(L320&gt;0,N320*100/L320,0)</f>
        <v>5.5111111111111111</v>
      </c>
      <c r="P320" s="161">
        <f t="shared" ref="P320:P328" ca="1" si="139">IF(M320&gt;0,N320*100/M320,0)</f>
        <v>5.5111111111111111</v>
      </c>
    </row>
    <row r="321" spans="1:16" ht="18.75" x14ac:dyDescent="0.25">
      <c r="A321" s="157"/>
      <c r="B321" s="53"/>
      <c r="C321" s="53"/>
      <c r="D321" s="53"/>
      <c r="E321" s="60" t="s">
        <v>18</v>
      </c>
      <c r="F321" s="53"/>
      <c r="G321" s="55"/>
      <c r="H321" s="162" t="s">
        <v>12</v>
      </c>
      <c r="I321" s="57"/>
      <c r="J321" s="57"/>
      <c r="K321" s="58"/>
      <c r="L321" s="59">
        <f t="shared" ref="L321:N321" ca="1" si="140">L324+L327</f>
        <v>0</v>
      </c>
      <c r="M321" s="59">
        <f t="shared" ca="1" si="140"/>
        <v>0</v>
      </c>
      <c r="N321" s="59">
        <f t="shared" ca="1" si="140"/>
        <v>0</v>
      </c>
      <c r="O321" s="59">
        <f t="shared" ca="1" si="138"/>
        <v>0</v>
      </c>
      <c r="P321" s="59">
        <f t="shared" ca="1" si="139"/>
        <v>0</v>
      </c>
    </row>
    <row r="322" spans="1:16" ht="18.75" x14ac:dyDescent="0.25">
      <c r="A322" s="157"/>
      <c r="B322" s="53"/>
      <c r="C322" s="53"/>
      <c r="D322" s="53"/>
      <c r="E322" s="60" t="s">
        <v>19</v>
      </c>
      <c r="F322" s="53"/>
      <c r="G322" s="55"/>
      <c r="H322" s="162" t="s">
        <v>12</v>
      </c>
      <c r="I322" s="57"/>
      <c r="J322" s="57"/>
      <c r="K322" s="58"/>
      <c r="L322" s="59">
        <f t="shared" ref="L322:N322" ca="1" si="141">L325+L328</f>
        <v>90000</v>
      </c>
      <c r="M322" s="59">
        <f t="shared" ca="1" si="141"/>
        <v>90000</v>
      </c>
      <c r="N322" s="59">
        <f t="shared" ca="1" si="141"/>
        <v>4960</v>
      </c>
      <c r="O322" s="59">
        <f t="shared" ca="1" si="138"/>
        <v>5.5111111111111111</v>
      </c>
      <c r="P322" s="59">
        <f t="shared" ca="1" si="139"/>
        <v>5.5111111111111111</v>
      </c>
    </row>
    <row r="323" spans="1:16" ht="18.75" x14ac:dyDescent="0.25">
      <c r="A323" s="157"/>
      <c r="B323" s="53"/>
      <c r="C323" s="53"/>
      <c r="D323" s="54" t="s">
        <v>20</v>
      </c>
      <c r="E323" s="53"/>
      <c r="F323" s="53"/>
      <c r="G323" s="55"/>
      <c r="H323" s="163" t="s">
        <v>12</v>
      </c>
      <c r="I323" s="164"/>
      <c r="J323" s="164"/>
      <c r="K323" s="165"/>
      <c r="L323" s="59">
        <f t="shared" ref="L323:N323" ca="1" si="142">L324+L325</f>
        <v>90000</v>
      </c>
      <c r="M323" s="59">
        <f t="shared" ca="1" si="142"/>
        <v>90000</v>
      </c>
      <c r="N323" s="59">
        <f t="shared" ca="1" si="142"/>
        <v>4960</v>
      </c>
      <c r="O323" s="59">
        <f t="shared" ca="1" si="138"/>
        <v>5.5111111111111111</v>
      </c>
      <c r="P323" s="59">
        <f t="shared" ca="1" si="139"/>
        <v>5.5111111111111111</v>
      </c>
    </row>
    <row r="324" spans="1:16" ht="18.75" x14ac:dyDescent="0.25">
      <c r="A324" s="157"/>
      <c r="B324" s="53"/>
      <c r="C324" s="53"/>
      <c r="D324" s="53"/>
      <c r="E324" s="60" t="s">
        <v>34</v>
      </c>
      <c r="F324" s="53"/>
      <c r="G324" s="55"/>
      <c r="H324" s="163" t="s">
        <v>12</v>
      </c>
      <c r="I324" s="164"/>
      <c r="J324" s="164"/>
      <c r="K324" s="165"/>
      <c r="L324" s="59">
        <f ca="1">IFERROR(__xludf.DUMMYFUNCTION("IMPORTRANGE(""https://docs.google.com/spreadsheets/d/13wPX838HrBrQMCywv1BsuMkt4PEKTChp52zj44s2izQ/edit?usp=sharing"",""กาญจนบุรี!L324"")+IMPORTRANGE(""https://docs.google.com/spreadsheets/d/1ddFKvqj1W1NEiWytbGlB1zMx_ykJDVtmfEQ-6-lIUBA/edit?usp=sharing"","&amp;"""จันทบุรี!L324"")+IMPORTRANGE(""https://docs.google.com/spreadsheets/d/1T1PQvRODqOBZk8BRht_U031fIS1beLA0Ub2CEytj2q0/edit?usp=sharing"",""ฉะเชิงเทรา!L324"")+IMPORTRANGE(""https://docs.google.com/spreadsheets/d/11tr1B-Bhyr79v2bkwVh5h_fR-PStkgjlZtkrZpYurG0/"&amp;"edit?usp=sharing"",""ชลบุรี!L324"")+IMPORTRANGE(""https://docs.google.com/spreadsheets/d/1hh-FVnSX0vozXhGluamEcS54Dw9_zqW0N7qJUWgJ0Sw/edit?usp=sharing"",""ชัยนาท!L324"")+IMPORTRANGE(""https://docs.google.com/spreadsheets/d/1jkqa6GXxSacMcY1eN8AHjMNJ_7dDXMJ"&amp;"VRLDlaFSOdPM/edit?usp=sharing"",""ตราด!L324"")+IMPORTRANGE(""https://docs.google.com/spreadsheets/d/18hSgUJ3VwClqi_qtULmmW3cLr0oe3OKaSYoKzdpTsYQ/edit?usp=sharing"",""นครนายก!L324"")+IMPORTRANGE(""https://docs.google.com/spreadsheets/d/1YTZo6WM2dQ6Ix6FSdnL"&amp;"5P7uVnVKu40sxZu975tgG10E/edit?usp=sharing"",""นครปฐม!L324"")+IMPORTRANGE(""https://docs.google.com/spreadsheets/d/1OYoGg4WDg5RIzwGeB10padOxJF9E_Vljuvvct_M7RDo/edit?usp=sharing"",""ปทุมธานี!L324"")+IMPORTRANGE(""https://docs.google.com/spreadsheets/d/1GbCI"&amp;"E4D4wk9FUozzqk7SxfDMxDVBwVmI5zcaVUSzKAc/edit?usp=sharing"",""ประจวบคีรีขันธ์!L324"")+IMPORTRANGE(""https://docs.google.com/spreadsheets/d/1vVf6wykvW_lAyu7Yo9L4hUTqHqIeP_qcVuxCtosJEbg/edit?usp=sharing"",""ปราจีนบุรี!L324"")+IMPORTRANGE(""https://docs.googl"&amp;"e.com/spreadsheets/d/1BIDqLLg5jk3v59G8NlR8rk5xfQDKne0sAvZHSj7TI6I/edit?usp=sharing"",""พระนครศรีอยุธยา!L324"")+IMPORTRANGE(""https://docs.google.com/spreadsheets/d/1YXvxf8Yu6_rV4hTBrwMqAcAnv6DfhUxh5emyM3CJp_w/edit?usp=sharing"",""เพชรบุรี!L324"")+IMPORTRA"&amp;"NGE(""https://docs.google.com/spreadsheets/d/19KBlQQs7uwvsao6t2n-KvW3Ax8J8uRRfZPq1zPbXgKc/edit?usp=sharing"",""ระยอง!L324"")+IMPORTRANGE(""https://docs.google.com/spreadsheets/d/1jQ6P4QcrGM89YfqcC_PxOHGCMq5ezhucwJd8ci-NHng/edit?usp=sharing"",""ราชบุรี!L32"&amp;"4"")+IMPORTRANGE(""https://docs.google.com/spreadsheets/d/1lufeA2cfFqM-elVq2hznhDzC6Pr7wkJ9ZG_sYNGCMCU/edit?usp=sharing"",""ลพบุรี!L324"")+IMPORTRANGE(""https://docs.google.com/spreadsheets/d/10oOiF7loTyfsTkbd4MpaIm0HQ9SwB7IYHdIUvt-U1Uc/edit?usp=sharing"""&amp;",""สระแก้ว!L324"")+IMPORTRANGE(""https://docs.google.com/spreadsheets/d/1xmPlrr1QbdSIKvl1dWUl9K4PjAfSL9oeMr_37QVzcxc/edit?usp=sharing"",""สระบุรี!L324"")+IMPORTRANGE(""https://docs.google.com/spreadsheets/d/1j51vR6CYVGhABJpv6tkstgok82RLpXieLzW1yOY5rHw/edi"&amp;"t?usp=sharing"",""สิงห์บุรี!L324"")+IMPORTRANGE(""https://docs.google.com/spreadsheets/d/1H1EalTWKUSzO4Z1-1CwzoDUaVffgrThEBe2sl74kKG0/edit?usp=sharing"",""สุพรรณบุรี!L324"")+IMPORTRANGE(""https://docs.google.com/spreadsheets/d/1BmIruG_sIrJLYao_Pdr7zVArWsf"&amp;"oBt2692TMi6x_854/edit?usp=sharing"",""อ่างทอง!L324"")"),0)</f>
        <v>0</v>
      </c>
      <c r="M324" s="59">
        <f ca="1">IFERROR(__xludf.DUMMYFUNCTION("IMPORTRANGE(""https://docs.google.com/spreadsheets/d/13wPX838HrBrQMCywv1BsuMkt4PEKTChp52zj44s2izQ/edit?usp=sharing"",""กาญจนบุรี!M324"")+IMPORTRANGE(""https://docs.google.com/spreadsheets/d/1ddFKvqj1W1NEiWytbGlB1zMx_ykJDVtmfEQ-6-lIUBA/edit?usp=sharing"","&amp;"""จันทบุรี!M324"")+IMPORTRANGE(""https://docs.google.com/spreadsheets/d/1T1PQvRODqOBZk8BRht_U031fIS1beLA0Ub2CEytj2q0/edit?usp=sharing"",""ฉะเชิงเทรา!M324"")+IMPORTRANGE(""https://docs.google.com/spreadsheets/d/11tr1B-Bhyr79v2bkwVh5h_fR-PStkgjlZtkrZpYurG0/"&amp;"edit?usp=sharing"",""ชลบุรี!M324"")+IMPORTRANGE(""https://docs.google.com/spreadsheets/d/1hh-FVnSX0vozXhGluamEcS54Dw9_zqW0N7qJUWgJ0Sw/edit?usp=sharing"",""ชัยนาท!M324"")+IMPORTRANGE(""https://docs.google.com/spreadsheets/d/1jkqa6GXxSacMcY1eN8AHjMNJ_7dDXMJ"&amp;"VRLDlaFSOdPM/edit?usp=sharing"",""ตราด!M324"")+IMPORTRANGE(""https://docs.google.com/spreadsheets/d/18hSgUJ3VwClqi_qtULmmW3cLr0oe3OKaSYoKzdpTsYQ/edit?usp=sharing"",""นครนายก!M324"")+IMPORTRANGE(""https://docs.google.com/spreadsheets/d/1YTZo6WM2dQ6Ix6FSdnL"&amp;"5P7uVnVKu40sxZu975tgG10E/edit?usp=sharing"",""นครปฐม!M324"")+IMPORTRANGE(""https://docs.google.com/spreadsheets/d/1OYoGg4WDg5RIzwGeB10padOxJF9E_Vljuvvct_M7RDo/edit?usp=sharing"",""ปทุมธานี!M324"")+IMPORTRANGE(""https://docs.google.com/spreadsheets/d/1GbCI"&amp;"E4D4wk9FUozzqk7SxfDMxDVBwVmI5zcaVUSzKAc/edit?usp=sharing"",""ประจวบคีรีขันธ์!M324"")+IMPORTRANGE(""https://docs.google.com/spreadsheets/d/1vVf6wykvW_lAyu7Yo9L4hUTqHqIeP_qcVuxCtosJEbg/edit?usp=sharing"",""ปราจีนบุรี!M324"")+IMPORTRANGE(""https://docs.googl"&amp;"e.com/spreadsheets/d/1BIDqLLg5jk3v59G8NlR8rk5xfQDKne0sAvZHSj7TI6I/edit?usp=sharing"",""พระนครศรีอยุธยา!M324"")+IMPORTRANGE(""https://docs.google.com/spreadsheets/d/1YXvxf8Yu6_rV4hTBrwMqAcAnv6DfhUxh5emyM3CJp_w/edit?usp=sharing"",""เพชรบุรี!M324"")+IMPORTRA"&amp;"NGE(""https://docs.google.com/spreadsheets/d/19KBlQQs7uwvsao6t2n-KvW3Ax8J8uRRfZPq1zPbXgKc/edit?usp=sharing"",""ระยอง!M324"")+IMPORTRANGE(""https://docs.google.com/spreadsheets/d/1jQ6P4QcrGM89YfqcC_PxOHGCMq5ezhucwJd8ci-NHng/edit?usp=sharing"",""ราชบุรี!M32"&amp;"4"")+IMPORTRANGE(""https://docs.google.com/spreadsheets/d/1lufeA2cfFqM-elVq2hznhDzC6Pr7wkJ9ZG_sYNGCMCU/edit?usp=sharing"",""ลพบุรี!M324"")+IMPORTRANGE(""https://docs.google.com/spreadsheets/d/10oOiF7loTyfsTkbd4MpaIm0HQ9SwB7IYHdIUvt-U1Uc/edit?usp=sharing"""&amp;",""สระแก้ว!M324"")+IMPORTRANGE(""https://docs.google.com/spreadsheets/d/1xmPlrr1QbdSIKvl1dWUl9K4PjAfSL9oeMr_37QVzcxc/edit?usp=sharing"",""สระบุรี!M324"")+IMPORTRANGE(""https://docs.google.com/spreadsheets/d/1j51vR6CYVGhABJpv6tkstgok82RLpXieLzW1yOY5rHw/edi"&amp;"t?usp=sharing"",""สิงห์บุรี!M324"")+IMPORTRANGE(""https://docs.google.com/spreadsheets/d/1H1EalTWKUSzO4Z1-1CwzoDUaVffgrThEBe2sl74kKG0/edit?usp=sharing"",""สุพรรณบุรี!M324"")+IMPORTRANGE(""https://docs.google.com/spreadsheets/d/1BmIruG_sIrJLYao_Pdr7zVArWsf"&amp;"oBt2692TMi6x_854/edit?usp=sharing"",""อ่างทอง!M324"")"),0)</f>
        <v>0</v>
      </c>
      <c r="N324" s="59">
        <f ca="1">IFERROR(__xludf.DUMMYFUNCTION("IMPORTRANGE(""https://docs.google.com/spreadsheets/d/13wPX838HrBrQMCywv1BsuMkt4PEKTChp52zj44s2izQ/edit?usp=sharing"",""กาญจนบุรี!N324"")+IMPORTRANGE(""https://docs.google.com/spreadsheets/d/1ddFKvqj1W1NEiWytbGlB1zMx_ykJDVtmfEQ-6-lIUBA/edit?usp=sharing"","&amp;"""จันทบุรี!N324"")+IMPORTRANGE(""https://docs.google.com/spreadsheets/d/1T1PQvRODqOBZk8BRht_U031fIS1beLA0Ub2CEytj2q0/edit?usp=sharing"",""ฉะเชิงเทรา!N324"")+IMPORTRANGE(""https://docs.google.com/spreadsheets/d/11tr1B-Bhyr79v2bkwVh5h_fR-PStkgjlZtkrZpYurG0/"&amp;"edit?usp=sharing"",""ชลบุรี!N324"")+IMPORTRANGE(""https://docs.google.com/spreadsheets/d/1hh-FVnSX0vozXhGluamEcS54Dw9_zqW0N7qJUWgJ0Sw/edit?usp=sharing"",""ชัยนาท!N324"")+IMPORTRANGE(""https://docs.google.com/spreadsheets/d/1jkqa6GXxSacMcY1eN8AHjMNJ_7dDXMJ"&amp;"VRLDlaFSOdPM/edit?usp=sharing"",""ตราด!N324"")+IMPORTRANGE(""https://docs.google.com/spreadsheets/d/18hSgUJ3VwClqi_qtULmmW3cLr0oe3OKaSYoKzdpTsYQ/edit?usp=sharing"",""นครนายก!N324"")+IMPORTRANGE(""https://docs.google.com/spreadsheets/d/1YTZo6WM2dQ6Ix6FSdnL"&amp;"5P7uVnVKu40sxZu975tgG10E/edit?usp=sharing"",""นครปฐม!N324"")+IMPORTRANGE(""https://docs.google.com/spreadsheets/d/1OYoGg4WDg5RIzwGeB10padOxJF9E_Vljuvvct_M7RDo/edit?usp=sharing"",""ปทุมธานี!N324"")+IMPORTRANGE(""https://docs.google.com/spreadsheets/d/1GbCI"&amp;"E4D4wk9FUozzqk7SxfDMxDVBwVmI5zcaVUSzKAc/edit?usp=sharing"",""ประจวบคีรีขันธ์!N324"")+IMPORTRANGE(""https://docs.google.com/spreadsheets/d/1vVf6wykvW_lAyu7Yo9L4hUTqHqIeP_qcVuxCtosJEbg/edit?usp=sharing"",""ปราจีนบุรี!N324"")+IMPORTRANGE(""https://docs.googl"&amp;"e.com/spreadsheets/d/1BIDqLLg5jk3v59G8NlR8rk5xfQDKne0sAvZHSj7TI6I/edit?usp=sharing"",""พระนครศรีอยุธยา!N324"")+IMPORTRANGE(""https://docs.google.com/spreadsheets/d/1YXvxf8Yu6_rV4hTBrwMqAcAnv6DfhUxh5emyM3CJp_w/edit?usp=sharing"",""เพชรบุรี!N324"")+IMPORTRA"&amp;"NGE(""https://docs.google.com/spreadsheets/d/19KBlQQs7uwvsao6t2n-KvW3Ax8J8uRRfZPq1zPbXgKc/edit?usp=sharing"",""ระยอง!N324"")+IMPORTRANGE(""https://docs.google.com/spreadsheets/d/1jQ6P4QcrGM89YfqcC_PxOHGCMq5ezhucwJd8ci-NHng/edit?usp=sharing"",""ราชบุรี!N32"&amp;"4"")+IMPORTRANGE(""https://docs.google.com/spreadsheets/d/1lufeA2cfFqM-elVq2hznhDzC6Pr7wkJ9ZG_sYNGCMCU/edit?usp=sharing"",""ลพบุรี!N324"")+IMPORTRANGE(""https://docs.google.com/spreadsheets/d/10oOiF7loTyfsTkbd4MpaIm0HQ9SwB7IYHdIUvt-U1Uc/edit?usp=sharing"""&amp;",""สระแก้ว!N324"")+IMPORTRANGE(""https://docs.google.com/spreadsheets/d/1xmPlrr1QbdSIKvl1dWUl9K4PjAfSL9oeMr_37QVzcxc/edit?usp=sharing"",""สระบุรี!N324"")+IMPORTRANGE(""https://docs.google.com/spreadsheets/d/1j51vR6CYVGhABJpv6tkstgok82RLpXieLzW1yOY5rHw/edi"&amp;"t?usp=sharing"",""สิงห์บุรี!N324"")+IMPORTRANGE(""https://docs.google.com/spreadsheets/d/1H1EalTWKUSzO4Z1-1CwzoDUaVffgrThEBe2sl74kKG0/edit?usp=sharing"",""สุพรรณบุรี!N324"")+IMPORTRANGE(""https://docs.google.com/spreadsheets/d/1BmIruG_sIrJLYao_Pdr7zVArWsf"&amp;"oBt2692TMi6x_854/edit?usp=sharing"",""อ่างทอง!N324"")"),0)</f>
        <v>0</v>
      </c>
      <c r="O324" s="59">
        <f t="shared" ca="1" si="138"/>
        <v>0</v>
      </c>
      <c r="P324" s="59">
        <f t="shared" ca="1" si="139"/>
        <v>0</v>
      </c>
    </row>
    <row r="325" spans="1:16" ht="18.75" x14ac:dyDescent="0.25">
      <c r="A325" s="157"/>
      <c r="B325" s="53"/>
      <c r="C325" s="53"/>
      <c r="D325" s="53"/>
      <c r="E325" s="60" t="s">
        <v>35</v>
      </c>
      <c r="F325" s="53"/>
      <c r="G325" s="55"/>
      <c r="H325" s="163" t="s">
        <v>12</v>
      </c>
      <c r="I325" s="164"/>
      <c r="J325" s="164"/>
      <c r="K325" s="165"/>
      <c r="L325" s="59">
        <f ca="1">IFERROR(__xludf.DUMMYFUNCTION("IMPORTRANGE(""https://docs.google.com/spreadsheets/d/13wPX838HrBrQMCywv1BsuMkt4PEKTChp52zj44s2izQ/edit?usp=sharing"",""กาญจนบุรี!L325"")+IMPORTRANGE(""https://docs.google.com/spreadsheets/d/1ddFKvqj1W1NEiWytbGlB1zMx_ykJDVtmfEQ-6-lIUBA/edit?usp=sharing"","&amp;"""จันทบุรี!L325"")+IMPORTRANGE(""https://docs.google.com/spreadsheets/d/1T1PQvRODqOBZk8BRht_U031fIS1beLA0Ub2CEytj2q0/edit?usp=sharing"",""ฉะเชิงเทรา!L325"")+IMPORTRANGE(""https://docs.google.com/spreadsheets/d/11tr1B-Bhyr79v2bkwVh5h_fR-PStkgjlZtkrZpYurG0/"&amp;"edit?usp=sharing"",""ชลบุรี!L325"")+IMPORTRANGE(""https://docs.google.com/spreadsheets/d/1hh-FVnSX0vozXhGluamEcS54Dw9_zqW0N7qJUWgJ0Sw/edit?usp=sharing"",""ชัยนาท!L325"")+IMPORTRANGE(""https://docs.google.com/spreadsheets/d/1jkqa6GXxSacMcY1eN8AHjMNJ_7dDXMJ"&amp;"VRLDlaFSOdPM/edit?usp=sharing"",""ตราด!L325"")+IMPORTRANGE(""https://docs.google.com/spreadsheets/d/18hSgUJ3VwClqi_qtULmmW3cLr0oe3OKaSYoKzdpTsYQ/edit?usp=sharing"",""นครนายก!L325"")+IMPORTRANGE(""https://docs.google.com/spreadsheets/d/1YTZo6WM2dQ6Ix6FSdnL"&amp;"5P7uVnVKu40sxZu975tgG10E/edit?usp=sharing"",""นครปฐม!L325"")+IMPORTRANGE(""https://docs.google.com/spreadsheets/d/1OYoGg4WDg5RIzwGeB10padOxJF9E_Vljuvvct_M7RDo/edit?usp=sharing"",""ปทุมธานี!L325"")+IMPORTRANGE(""https://docs.google.com/spreadsheets/d/1GbCI"&amp;"E4D4wk9FUozzqk7SxfDMxDVBwVmI5zcaVUSzKAc/edit?usp=sharing"",""ประจวบคีรีขันธ์!L325"")+IMPORTRANGE(""https://docs.google.com/spreadsheets/d/1vVf6wykvW_lAyu7Yo9L4hUTqHqIeP_qcVuxCtosJEbg/edit?usp=sharing"",""ปราจีนบุรี!L325"")+IMPORTRANGE(""https://docs.googl"&amp;"e.com/spreadsheets/d/1BIDqLLg5jk3v59G8NlR8rk5xfQDKne0sAvZHSj7TI6I/edit?usp=sharing"",""พระนครศรีอยุธยา!L325"")+IMPORTRANGE(""https://docs.google.com/spreadsheets/d/1YXvxf8Yu6_rV4hTBrwMqAcAnv6DfhUxh5emyM3CJp_w/edit?usp=sharing"",""เพชรบุรี!L325"")+IMPORTRA"&amp;"NGE(""https://docs.google.com/spreadsheets/d/19KBlQQs7uwvsao6t2n-KvW3Ax8J8uRRfZPq1zPbXgKc/edit?usp=sharing"",""ระยอง!L325"")+IMPORTRANGE(""https://docs.google.com/spreadsheets/d/1jQ6P4QcrGM89YfqcC_PxOHGCMq5ezhucwJd8ci-NHng/edit?usp=sharing"",""ราชบุรี!L32"&amp;"5"")+IMPORTRANGE(""https://docs.google.com/spreadsheets/d/1lufeA2cfFqM-elVq2hznhDzC6Pr7wkJ9ZG_sYNGCMCU/edit?usp=sharing"",""ลพบุรี!L325"")+IMPORTRANGE(""https://docs.google.com/spreadsheets/d/10oOiF7loTyfsTkbd4MpaIm0HQ9SwB7IYHdIUvt-U1Uc/edit?usp=sharing"""&amp;",""สระแก้ว!L325"")+IMPORTRANGE(""https://docs.google.com/spreadsheets/d/1xmPlrr1QbdSIKvl1dWUl9K4PjAfSL9oeMr_37QVzcxc/edit?usp=sharing"",""สระบุรี!L325"")+IMPORTRANGE(""https://docs.google.com/spreadsheets/d/1j51vR6CYVGhABJpv6tkstgok82RLpXieLzW1yOY5rHw/edi"&amp;"t?usp=sharing"",""สิงห์บุรี!L325"")+IMPORTRANGE(""https://docs.google.com/spreadsheets/d/1H1EalTWKUSzO4Z1-1CwzoDUaVffgrThEBe2sl74kKG0/edit?usp=sharing"",""สุพรรณบุรี!L325"")+IMPORTRANGE(""https://docs.google.com/spreadsheets/d/1BmIruG_sIrJLYao_Pdr7zVArWsf"&amp;"oBt2692TMi6x_854/edit?usp=sharing"",""อ่างทอง!L325"")"),90000)</f>
        <v>90000</v>
      </c>
      <c r="M325" s="59">
        <f ca="1">IFERROR(__xludf.DUMMYFUNCTION("IMPORTRANGE(""https://docs.google.com/spreadsheets/d/13wPX838HrBrQMCywv1BsuMkt4PEKTChp52zj44s2izQ/edit?usp=sharing"",""กาญจนบุรี!M325"")+IMPORTRANGE(""https://docs.google.com/spreadsheets/d/1ddFKvqj1W1NEiWytbGlB1zMx_ykJDVtmfEQ-6-lIUBA/edit?usp=sharing"","&amp;"""จันทบุรี!M325"")+IMPORTRANGE(""https://docs.google.com/spreadsheets/d/1T1PQvRODqOBZk8BRht_U031fIS1beLA0Ub2CEytj2q0/edit?usp=sharing"",""ฉะเชิงเทรา!M325"")+IMPORTRANGE(""https://docs.google.com/spreadsheets/d/11tr1B-Bhyr79v2bkwVh5h_fR-PStkgjlZtkrZpYurG0/"&amp;"edit?usp=sharing"",""ชลบุรี!M325"")+IMPORTRANGE(""https://docs.google.com/spreadsheets/d/1hh-FVnSX0vozXhGluamEcS54Dw9_zqW0N7qJUWgJ0Sw/edit?usp=sharing"",""ชัยนาท!M325"")+IMPORTRANGE(""https://docs.google.com/spreadsheets/d/1jkqa6GXxSacMcY1eN8AHjMNJ_7dDXMJ"&amp;"VRLDlaFSOdPM/edit?usp=sharing"",""ตราด!M325"")+IMPORTRANGE(""https://docs.google.com/spreadsheets/d/18hSgUJ3VwClqi_qtULmmW3cLr0oe3OKaSYoKzdpTsYQ/edit?usp=sharing"",""นครนายก!M325"")+IMPORTRANGE(""https://docs.google.com/spreadsheets/d/1YTZo6WM2dQ6Ix6FSdnL"&amp;"5P7uVnVKu40sxZu975tgG10E/edit?usp=sharing"",""นครปฐม!M325"")+IMPORTRANGE(""https://docs.google.com/spreadsheets/d/1OYoGg4WDg5RIzwGeB10padOxJF9E_Vljuvvct_M7RDo/edit?usp=sharing"",""ปทุมธานี!M325"")+IMPORTRANGE(""https://docs.google.com/spreadsheets/d/1GbCI"&amp;"E4D4wk9FUozzqk7SxfDMxDVBwVmI5zcaVUSzKAc/edit?usp=sharing"",""ประจวบคีรีขันธ์!M325"")+IMPORTRANGE(""https://docs.google.com/spreadsheets/d/1vVf6wykvW_lAyu7Yo9L4hUTqHqIeP_qcVuxCtosJEbg/edit?usp=sharing"",""ปราจีนบุรี!M325"")+IMPORTRANGE(""https://docs.googl"&amp;"e.com/spreadsheets/d/1BIDqLLg5jk3v59G8NlR8rk5xfQDKne0sAvZHSj7TI6I/edit?usp=sharing"",""พระนครศรีอยุธยา!M325"")+IMPORTRANGE(""https://docs.google.com/spreadsheets/d/1YXvxf8Yu6_rV4hTBrwMqAcAnv6DfhUxh5emyM3CJp_w/edit?usp=sharing"",""เพชรบุรี!M325"")+IMPORTRA"&amp;"NGE(""https://docs.google.com/spreadsheets/d/19KBlQQs7uwvsao6t2n-KvW3Ax8J8uRRfZPq1zPbXgKc/edit?usp=sharing"",""ระยอง!M325"")+IMPORTRANGE(""https://docs.google.com/spreadsheets/d/1jQ6P4QcrGM89YfqcC_PxOHGCMq5ezhucwJd8ci-NHng/edit?usp=sharing"",""ราชบุรี!M32"&amp;"5"")+IMPORTRANGE(""https://docs.google.com/spreadsheets/d/1lufeA2cfFqM-elVq2hznhDzC6Pr7wkJ9ZG_sYNGCMCU/edit?usp=sharing"",""ลพบุรี!M325"")+IMPORTRANGE(""https://docs.google.com/spreadsheets/d/10oOiF7loTyfsTkbd4MpaIm0HQ9SwB7IYHdIUvt-U1Uc/edit?usp=sharing"""&amp;",""สระแก้ว!M325"")+IMPORTRANGE(""https://docs.google.com/spreadsheets/d/1xmPlrr1QbdSIKvl1dWUl9K4PjAfSL9oeMr_37QVzcxc/edit?usp=sharing"",""สระบุรี!M325"")+IMPORTRANGE(""https://docs.google.com/spreadsheets/d/1j51vR6CYVGhABJpv6tkstgok82RLpXieLzW1yOY5rHw/edi"&amp;"t?usp=sharing"",""สิงห์บุรี!M325"")+IMPORTRANGE(""https://docs.google.com/spreadsheets/d/1H1EalTWKUSzO4Z1-1CwzoDUaVffgrThEBe2sl74kKG0/edit?usp=sharing"",""สุพรรณบุรี!M325"")+IMPORTRANGE(""https://docs.google.com/spreadsheets/d/1BmIruG_sIrJLYao_Pdr7zVArWsf"&amp;"oBt2692TMi6x_854/edit?usp=sharing"",""อ่างทอง!M325"")"),90000)</f>
        <v>90000</v>
      </c>
      <c r="N325" s="59">
        <f ca="1">IFERROR(__xludf.DUMMYFUNCTION("IMPORTRANGE(""https://docs.google.com/spreadsheets/d/13wPX838HrBrQMCywv1BsuMkt4PEKTChp52zj44s2izQ/edit?usp=sharing"",""กาญจนบุรี!N325"")+IMPORTRANGE(""https://docs.google.com/spreadsheets/d/1ddFKvqj1W1NEiWytbGlB1zMx_ykJDVtmfEQ-6-lIUBA/edit?usp=sharing"","&amp;"""จันทบุรี!N325"")+IMPORTRANGE(""https://docs.google.com/spreadsheets/d/1T1PQvRODqOBZk8BRht_U031fIS1beLA0Ub2CEytj2q0/edit?usp=sharing"",""ฉะเชิงเทรา!N325"")+IMPORTRANGE(""https://docs.google.com/spreadsheets/d/11tr1B-Bhyr79v2bkwVh5h_fR-PStkgjlZtkrZpYurG0/"&amp;"edit?usp=sharing"",""ชลบุรี!N325"")+IMPORTRANGE(""https://docs.google.com/spreadsheets/d/1hh-FVnSX0vozXhGluamEcS54Dw9_zqW0N7qJUWgJ0Sw/edit?usp=sharing"",""ชัยนาท!N325"")+IMPORTRANGE(""https://docs.google.com/spreadsheets/d/1jkqa6GXxSacMcY1eN8AHjMNJ_7dDXMJ"&amp;"VRLDlaFSOdPM/edit?usp=sharing"",""ตราด!N325"")+IMPORTRANGE(""https://docs.google.com/spreadsheets/d/18hSgUJ3VwClqi_qtULmmW3cLr0oe3OKaSYoKzdpTsYQ/edit?usp=sharing"",""นครนายก!N325"")+IMPORTRANGE(""https://docs.google.com/spreadsheets/d/1YTZo6WM2dQ6Ix6FSdnL"&amp;"5P7uVnVKu40sxZu975tgG10E/edit?usp=sharing"",""นครปฐม!N325"")+IMPORTRANGE(""https://docs.google.com/spreadsheets/d/1OYoGg4WDg5RIzwGeB10padOxJF9E_Vljuvvct_M7RDo/edit?usp=sharing"",""ปทุมธานี!N325"")+IMPORTRANGE(""https://docs.google.com/spreadsheets/d/1GbCI"&amp;"E4D4wk9FUozzqk7SxfDMxDVBwVmI5zcaVUSzKAc/edit?usp=sharing"",""ประจวบคีรีขันธ์!N325"")+IMPORTRANGE(""https://docs.google.com/spreadsheets/d/1vVf6wykvW_lAyu7Yo9L4hUTqHqIeP_qcVuxCtosJEbg/edit?usp=sharing"",""ปราจีนบุรี!N325"")+IMPORTRANGE(""https://docs.googl"&amp;"e.com/spreadsheets/d/1BIDqLLg5jk3v59G8NlR8rk5xfQDKne0sAvZHSj7TI6I/edit?usp=sharing"",""พระนครศรีอยุธยา!N325"")+IMPORTRANGE(""https://docs.google.com/spreadsheets/d/1YXvxf8Yu6_rV4hTBrwMqAcAnv6DfhUxh5emyM3CJp_w/edit?usp=sharing"",""เพชรบุรี!N325"")+IMPORTRA"&amp;"NGE(""https://docs.google.com/spreadsheets/d/19KBlQQs7uwvsao6t2n-KvW3Ax8J8uRRfZPq1zPbXgKc/edit?usp=sharing"",""ระยอง!N325"")+IMPORTRANGE(""https://docs.google.com/spreadsheets/d/1jQ6P4QcrGM89YfqcC_PxOHGCMq5ezhucwJd8ci-NHng/edit?usp=sharing"",""ราชบุรี!N32"&amp;"5"")+IMPORTRANGE(""https://docs.google.com/spreadsheets/d/1lufeA2cfFqM-elVq2hznhDzC6Pr7wkJ9ZG_sYNGCMCU/edit?usp=sharing"",""ลพบุรี!N325"")+IMPORTRANGE(""https://docs.google.com/spreadsheets/d/10oOiF7loTyfsTkbd4MpaIm0HQ9SwB7IYHdIUvt-U1Uc/edit?usp=sharing"""&amp;",""สระแก้ว!N325"")+IMPORTRANGE(""https://docs.google.com/spreadsheets/d/1xmPlrr1QbdSIKvl1dWUl9K4PjAfSL9oeMr_37QVzcxc/edit?usp=sharing"",""สระบุรี!N325"")+IMPORTRANGE(""https://docs.google.com/spreadsheets/d/1j51vR6CYVGhABJpv6tkstgok82RLpXieLzW1yOY5rHw/edi"&amp;"t?usp=sharing"",""สิงห์บุรี!N325"")+IMPORTRANGE(""https://docs.google.com/spreadsheets/d/1H1EalTWKUSzO4Z1-1CwzoDUaVffgrThEBe2sl74kKG0/edit?usp=sharing"",""สุพรรณบุรี!N325"")+IMPORTRANGE(""https://docs.google.com/spreadsheets/d/1BmIruG_sIrJLYao_Pdr7zVArWsf"&amp;"oBt2692TMi6x_854/edit?usp=sharing"",""อ่างทอง!N325"")"),4960)</f>
        <v>4960</v>
      </c>
      <c r="O325" s="59">
        <f t="shared" ca="1" si="138"/>
        <v>5.5111111111111111</v>
      </c>
      <c r="P325" s="59">
        <f t="shared" ca="1" si="139"/>
        <v>5.5111111111111111</v>
      </c>
    </row>
    <row r="326" spans="1:16" ht="18.75" x14ac:dyDescent="0.25">
      <c r="A326" s="157"/>
      <c r="B326" s="53"/>
      <c r="C326" s="53"/>
      <c r="D326" s="54" t="s">
        <v>21</v>
      </c>
      <c r="E326" s="53"/>
      <c r="F326" s="53"/>
      <c r="G326" s="55"/>
      <c r="H326" s="166" t="s">
        <v>12</v>
      </c>
      <c r="I326" s="164"/>
      <c r="J326" s="164"/>
      <c r="K326" s="165"/>
      <c r="L326" s="59">
        <f t="shared" ref="L326:N326" ca="1" si="143">L327+L328</f>
        <v>0</v>
      </c>
      <c r="M326" s="59">
        <f t="shared" ca="1" si="143"/>
        <v>0</v>
      </c>
      <c r="N326" s="59">
        <f t="shared" ca="1" si="143"/>
        <v>0</v>
      </c>
      <c r="O326" s="59">
        <f t="shared" ca="1" si="138"/>
        <v>0</v>
      </c>
      <c r="P326" s="59">
        <f t="shared" ca="1" si="139"/>
        <v>0</v>
      </c>
    </row>
    <row r="327" spans="1:16" ht="18.75" x14ac:dyDescent="0.25">
      <c r="A327" s="157"/>
      <c r="B327" s="53"/>
      <c r="C327" s="53"/>
      <c r="D327" s="53"/>
      <c r="E327" s="60" t="s">
        <v>18</v>
      </c>
      <c r="F327" s="53"/>
      <c r="G327" s="55"/>
      <c r="H327" s="163" t="s">
        <v>12</v>
      </c>
      <c r="I327" s="164"/>
      <c r="J327" s="164"/>
      <c r="K327" s="165"/>
      <c r="L327" s="59">
        <f ca="1">IFERROR(__xludf.DUMMYFUNCTION("IMPORTRANGE(""https://docs.google.com/spreadsheets/d/13wPX838HrBrQMCywv1BsuMkt4PEKTChp52zj44s2izQ/edit?usp=sharing"",""กาญจนบุรี!L327"")+IMPORTRANGE(""https://docs.google.com/spreadsheets/d/1ddFKvqj1W1NEiWytbGlB1zMx_ykJDVtmfEQ-6-lIUBA/edit?usp=sharing"","&amp;"""จันทบุรี!L327"")+IMPORTRANGE(""https://docs.google.com/spreadsheets/d/1T1PQvRODqOBZk8BRht_U031fIS1beLA0Ub2CEytj2q0/edit?usp=sharing"",""ฉะเชิงเทรา!L327"")+IMPORTRANGE(""https://docs.google.com/spreadsheets/d/11tr1B-Bhyr79v2bkwVh5h_fR-PStkgjlZtkrZpYurG0/"&amp;"edit?usp=sharing"",""ชลบุรี!L327"")+IMPORTRANGE(""https://docs.google.com/spreadsheets/d/1hh-FVnSX0vozXhGluamEcS54Dw9_zqW0N7qJUWgJ0Sw/edit?usp=sharing"",""ชัยนาท!L327"")+IMPORTRANGE(""https://docs.google.com/spreadsheets/d/1jkqa6GXxSacMcY1eN8AHjMNJ_7dDXMJ"&amp;"VRLDlaFSOdPM/edit?usp=sharing"",""ตราด!L327"")+IMPORTRANGE(""https://docs.google.com/spreadsheets/d/18hSgUJ3VwClqi_qtULmmW3cLr0oe3OKaSYoKzdpTsYQ/edit?usp=sharing"",""นครนายก!L327"")+IMPORTRANGE(""https://docs.google.com/spreadsheets/d/1YTZo6WM2dQ6Ix6FSdnL"&amp;"5P7uVnVKu40sxZu975tgG10E/edit?usp=sharing"",""นครปฐม!L327"")+IMPORTRANGE(""https://docs.google.com/spreadsheets/d/1OYoGg4WDg5RIzwGeB10padOxJF9E_Vljuvvct_M7RDo/edit?usp=sharing"",""ปทุมธานี!L327"")+IMPORTRANGE(""https://docs.google.com/spreadsheets/d/1GbCI"&amp;"E4D4wk9FUozzqk7SxfDMxDVBwVmI5zcaVUSzKAc/edit?usp=sharing"",""ประจวบคีรีขันธ์!L327"")+IMPORTRANGE(""https://docs.google.com/spreadsheets/d/1vVf6wykvW_lAyu7Yo9L4hUTqHqIeP_qcVuxCtosJEbg/edit?usp=sharing"",""ปราจีนบุรี!L327"")+IMPORTRANGE(""https://docs.googl"&amp;"e.com/spreadsheets/d/1BIDqLLg5jk3v59G8NlR8rk5xfQDKne0sAvZHSj7TI6I/edit?usp=sharing"",""พระนครศรีอยุธยา!L327"")+IMPORTRANGE(""https://docs.google.com/spreadsheets/d/1YXvxf8Yu6_rV4hTBrwMqAcAnv6DfhUxh5emyM3CJp_w/edit?usp=sharing"",""เพชรบุรี!L327"")+IMPORTRA"&amp;"NGE(""https://docs.google.com/spreadsheets/d/19KBlQQs7uwvsao6t2n-KvW3Ax8J8uRRfZPq1zPbXgKc/edit?usp=sharing"",""ระยอง!L327"")+IMPORTRANGE(""https://docs.google.com/spreadsheets/d/1jQ6P4QcrGM89YfqcC_PxOHGCMq5ezhucwJd8ci-NHng/edit?usp=sharing"",""ราชบุรี!L32"&amp;"7"")+IMPORTRANGE(""https://docs.google.com/spreadsheets/d/1lufeA2cfFqM-elVq2hznhDzC6Pr7wkJ9ZG_sYNGCMCU/edit?usp=sharing"",""ลพบุรี!L327"")+IMPORTRANGE(""https://docs.google.com/spreadsheets/d/10oOiF7loTyfsTkbd4MpaIm0HQ9SwB7IYHdIUvt-U1Uc/edit?usp=sharing"""&amp;",""สระแก้ว!L327"")+IMPORTRANGE(""https://docs.google.com/spreadsheets/d/1xmPlrr1QbdSIKvl1dWUl9K4PjAfSL9oeMr_37QVzcxc/edit?usp=sharing"",""สระบุรี!L327"")+IMPORTRANGE(""https://docs.google.com/spreadsheets/d/1j51vR6CYVGhABJpv6tkstgok82RLpXieLzW1yOY5rHw/edi"&amp;"t?usp=sharing"",""สิงห์บุรี!L327"")+IMPORTRANGE(""https://docs.google.com/spreadsheets/d/1H1EalTWKUSzO4Z1-1CwzoDUaVffgrThEBe2sl74kKG0/edit?usp=sharing"",""สุพรรณบุรี!L327"")+IMPORTRANGE(""https://docs.google.com/spreadsheets/d/1BmIruG_sIrJLYao_Pdr7zVArWsf"&amp;"oBt2692TMi6x_854/edit?usp=sharing"",""อ่างทอง!L327"")"),0)</f>
        <v>0</v>
      </c>
      <c r="M327" s="59">
        <f ca="1">IFERROR(__xludf.DUMMYFUNCTION("IMPORTRANGE(""https://docs.google.com/spreadsheets/d/13wPX838HrBrQMCywv1BsuMkt4PEKTChp52zj44s2izQ/edit?usp=sharing"",""กาญจนบุรี!M327"")+IMPORTRANGE(""https://docs.google.com/spreadsheets/d/1ddFKvqj1W1NEiWytbGlB1zMx_ykJDVtmfEQ-6-lIUBA/edit?usp=sharing"","&amp;"""จันทบุรี!M327"")+IMPORTRANGE(""https://docs.google.com/spreadsheets/d/1T1PQvRODqOBZk8BRht_U031fIS1beLA0Ub2CEytj2q0/edit?usp=sharing"",""ฉะเชิงเทรา!M327"")+IMPORTRANGE(""https://docs.google.com/spreadsheets/d/11tr1B-Bhyr79v2bkwVh5h_fR-PStkgjlZtkrZpYurG0/"&amp;"edit?usp=sharing"",""ชลบุรี!M327"")+IMPORTRANGE(""https://docs.google.com/spreadsheets/d/1hh-FVnSX0vozXhGluamEcS54Dw9_zqW0N7qJUWgJ0Sw/edit?usp=sharing"",""ชัยนาท!M327"")+IMPORTRANGE(""https://docs.google.com/spreadsheets/d/1jkqa6GXxSacMcY1eN8AHjMNJ_7dDXMJ"&amp;"VRLDlaFSOdPM/edit?usp=sharing"",""ตราด!M327"")+IMPORTRANGE(""https://docs.google.com/spreadsheets/d/18hSgUJ3VwClqi_qtULmmW3cLr0oe3OKaSYoKzdpTsYQ/edit?usp=sharing"",""นครนายก!M327"")+IMPORTRANGE(""https://docs.google.com/spreadsheets/d/1YTZo6WM2dQ6Ix6FSdnL"&amp;"5P7uVnVKu40sxZu975tgG10E/edit?usp=sharing"",""นครปฐม!M327"")+IMPORTRANGE(""https://docs.google.com/spreadsheets/d/1OYoGg4WDg5RIzwGeB10padOxJF9E_Vljuvvct_M7RDo/edit?usp=sharing"",""ปทุมธานี!M327"")+IMPORTRANGE(""https://docs.google.com/spreadsheets/d/1GbCI"&amp;"E4D4wk9FUozzqk7SxfDMxDVBwVmI5zcaVUSzKAc/edit?usp=sharing"",""ประจวบคีรีขันธ์!M327"")+IMPORTRANGE(""https://docs.google.com/spreadsheets/d/1vVf6wykvW_lAyu7Yo9L4hUTqHqIeP_qcVuxCtosJEbg/edit?usp=sharing"",""ปราจีนบุรี!M327"")+IMPORTRANGE(""https://docs.googl"&amp;"e.com/spreadsheets/d/1BIDqLLg5jk3v59G8NlR8rk5xfQDKne0sAvZHSj7TI6I/edit?usp=sharing"",""พระนครศรีอยุธยา!M327"")+IMPORTRANGE(""https://docs.google.com/spreadsheets/d/1YXvxf8Yu6_rV4hTBrwMqAcAnv6DfhUxh5emyM3CJp_w/edit?usp=sharing"",""เพชรบุรี!M327"")+IMPORTRA"&amp;"NGE(""https://docs.google.com/spreadsheets/d/19KBlQQs7uwvsao6t2n-KvW3Ax8J8uRRfZPq1zPbXgKc/edit?usp=sharing"",""ระยอง!M327"")+IMPORTRANGE(""https://docs.google.com/spreadsheets/d/1jQ6P4QcrGM89YfqcC_PxOHGCMq5ezhucwJd8ci-NHng/edit?usp=sharing"",""ราชบุรี!M32"&amp;"7"")+IMPORTRANGE(""https://docs.google.com/spreadsheets/d/1lufeA2cfFqM-elVq2hznhDzC6Pr7wkJ9ZG_sYNGCMCU/edit?usp=sharing"",""ลพบุรี!M327"")+IMPORTRANGE(""https://docs.google.com/spreadsheets/d/10oOiF7loTyfsTkbd4MpaIm0HQ9SwB7IYHdIUvt-U1Uc/edit?usp=sharing"""&amp;",""สระแก้ว!M327"")+IMPORTRANGE(""https://docs.google.com/spreadsheets/d/1xmPlrr1QbdSIKvl1dWUl9K4PjAfSL9oeMr_37QVzcxc/edit?usp=sharing"",""สระบุรี!M327"")+IMPORTRANGE(""https://docs.google.com/spreadsheets/d/1j51vR6CYVGhABJpv6tkstgok82RLpXieLzW1yOY5rHw/edi"&amp;"t?usp=sharing"",""สิงห์บุรี!M327"")+IMPORTRANGE(""https://docs.google.com/spreadsheets/d/1H1EalTWKUSzO4Z1-1CwzoDUaVffgrThEBe2sl74kKG0/edit?usp=sharing"",""สุพรรณบุรี!M327"")+IMPORTRANGE(""https://docs.google.com/spreadsheets/d/1BmIruG_sIrJLYao_Pdr7zVArWsf"&amp;"oBt2692TMi6x_854/edit?usp=sharing"",""อ่างทอง!M327"")"),0)</f>
        <v>0</v>
      </c>
      <c r="N327" s="59">
        <f ca="1">IFERROR(__xludf.DUMMYFUNCTION("IMPORTRANGE(""https://docs.google.com/spreadsheets/d/13wPX838HrBrQMCywv1BsuMkt4PEKTChp52zj44s2izQ/edit?usp=sharing"",""กาญจนบุรี!N327"")+IMPORTRANGE(""https://docs.google.com/spreadsheets/d/1ddFKvqj1W1NEiWytbGlB1zMx_ykJDVtmfEQ-6-lIUBA/edit?usp=sharing"","&amp;"""จันทบุรี!N327"")+IMPORTRANGE(""https://docs.google.com/spreadsheets/d/1T1PQvRODqOBZk8BRht_U031fIS1beLA0Ub2CEytj2q0/edit?usp=sharing"",""ฉะเชิงเทรา!N327"")+IMPORTRANGE(""https://docs.google.com/spreadsheets/d/11tr1B-Bhyr79v2bkwVh5h_fR-PStkgjlZtkrZpYurG0/"&amp;"edit?usp=sharing"",""ชลบุรี!N327"")+IMPORTRANGE(""https://docs.google.com/spreadsheets/d/1hh-FVnSX0vozXhGluamEcS54Dw9_zqW0N7qJUWgJ0Sw/edit?usp=sharing"",""ชัยนาท!N327"")+IMPORTRANGE(""https://docs.google.com/spreadsheets/d/1jkqa6GXxSacMcY1eN8AHjMNJ_7dDXMJ"&amp;"VRLDlaFSOdPM/edit?usp=sharing"",""ตราด!N327"")+IMPORTRANGE(""https://docs.google.com/spreadsheets/d/18hSgUJ3VwClqi_qtULmmW3cLr0oe3OKaSYoKzdpTsYQ/edit?usp=sharing"",""นครนายก!N327"")+IMPORTRANGE(""https://docs.google.com/spreadsheets/d/1YTZo6WM2dQ6Ix6FSdnL"&amp;"5P7uVnVKu40sxZu975tgG10E/edit?usp=sharing"",""นครปฐม!N327"")+IMPORTRANGE(""https://docs.google.com/spreadsheets/d/1OYoGg4WDg5RIzwGeB10padOxJF9E_Vljuvvct_M7RDo/edit?usp=sharing"",""ปทุมธานี!N327"")+IMPORTRANGE(""https://docs.google.com/spreadsheets/d/1GbCI"&amp;"E4D4wk9FUozzqk7SxfDMxDVBwVmI5zcaVUSzKAc/edit?usp=sharing"",""ประจวบคีรีขันธ์!N327"")+IMPORTRANGE(""https://docs.google.com/spreadsheets/d/1vVf6wykvW_lAyu7Yo9L4hUTqHqIeP_qcVuxCtosJEbg/edit?usp=sharing"",""ปราจีนบุรี!N327"")+IMPORTRANGE(""https://docs.googl"&amp;"e.com/spreadsheets/d/1BIDqLLg5jk3v59G8NlR8rk5xfQDKne0sAvZHSj7TI6I/edit?usp=sharing"",""พระนครศรีอยุธยา!N327"")+IMPORTRANGE(""https://docs.google.com/spreadsheets/d/1YXvxf8Yu6_rV4hTBrwMqAcAnv6DfhUxh5emyM3CJp_w/edit?usp=sharing"",""เพชรบุรี!N327"")+IMPORTRA"&amp;"NGE(""https://docs.google.com/spreadsheets/d/19KBlQQs7uwvsao6t2n-KvW3Ax8J8uRRfZPq1zPbXgKc/edit?usp=sharing"",""ระยอง!N327"")+IMPORTRANGE(""https://docs.google.com/spreadsheets/d/1jQ6P4QcrGM89YfqcC_PxOHGCMq5ezhucwJd8ci-NHng/edit?usp=sharing"",""ราชบุรี!N32"&amp;"7"")+IMPORTRANGE(""https://docs.google.com/spreadsheets/d/1lufeA2cfFqM-elVq2hznhDzC6Pr7wkJ9ZG_sYNGCMCU/edit?usp=sharing"",""ลพบุรี!N327"")+IMPORTRANGE(""https://docs.google.com/spreadsheets/d/10oOiF7loTyfsTkbd4MpaIm0HQ9SwB7IYHdIUvt-U1Uc/edit?usp=sharing"""&amp;",""สระแก้ว!N327"")+IMPORTRANGE(""https://docs.google.com/spreadsheets/d/1xmPlrr1QbdSIKvl1dWUl9K4PjAfSL9oeMr_37QVzcxc/edit?usp=sharing"",""สระบุรี!N327"")+IMPORTRANGE(""https://docs.google.com/spreadsheets/d/1j51vR6CYVGhABJpv6tkstgok82RLpXieLzW1yOY5rHw/edi"&amp;"t?usp=sharing"",""สิงห์บุรี!N327"")+IMPORTRANGE(""https://docs.google.com/spreadsheets/d/1H1EalTWKUSzO4Z1-1CwzoDUaVffgrThEBe2sl74kKG0/edit?usp=sharing"",""สุพรรณบุรี!N327"")+IMPORTRANGE(""https://docs.google.com/spreadsheets/d/1BmIruG_sIrJLYao_Pdr7zVArWsf"&amp;"oBt2692TMi6x_854/edit?usp=sharing"",""อ่างทอง!N327"")"),0)</f>
        <v>0</v>
      </c>
      <c r="O327" s="59">
        <f t="shared" ca="1" si="138"/>
        <v>0</v>
      </c>
      <c r="P327" s="59">
        <f t="shared" ca="1" si="139"/>
        <v>0</v>
      </c>
    </row>
    <row r="328" spans="1:16" ht="18.75" x14ac:dyDescent="0.25">
      <c r="A328" s="157"/>
      <c r="B328" s="53"/>
      <c r="C328" s="53"/>
      <c r="D328" s="53"/>
      <c r="E328" s="60" t="s">
        <v>19</v>
      </c>
      <c r="F328" s="53"/>
      <c r="G328" s="55"/>
      <c r="H328" s="166" t="s">
        <v>12</v>
      </c>
      <c r="I328" s="164"/>
      <c r="J328" s="164"/>
      <c r="K328" s="165"/>
      <c r="L328" s="59">
        <f ca="1">IFERROR(__xludf.DUMMYFUNCTION("IMPORTRANGE(""https://docs.google.com/spreadsheets/d/13wPX838HrBrQMCywv1BsuMkt4PEKTChp52zj44s2izQ/edit?usp=sharing"",""กาญจนบุรี!L328"")+IMPORTRANGE(""https://docs.google.com/spreadsheets/d/1ddFKvqj1W1NEiWytbGlB1zMx_ykJDVtmfEQ-6-lIUBA/edit?usp=sharing"","&amp;"""จันทบุรี!L328"")+IMPORTRANGE(""https://docs.google.com/spreadsheets/d/1T1PQvRODqOBZk8BRht_U031fIS1beLA0Ub2CEytj2q0/edit?usp=sharing"",""ฉะเชิงเทรา!L328"")+IMPORTRANGE(""https://docs.google.com/spreadsheets/d/11tr1B-Bhyr79v2bkwVh5h_fR-PStkgjlZtkrZpYurG0/"&amp;"edit?usp=sharing"",""ชลบุรี!L328"")+IMPORTRANGE(""https://docs.google.com/spreadsheets/d/1hh-FVnSX0vozXhGluamEcS54Dw9_zqW0N7qJUWgJ0Sw/edit?usp=sharing"",""ชัยนาท!L328"")+IMPORTRANGE(""https://docs.google.com/spreadsheets/d/1jkqa6GXxSacMcY1eN8AHjMNJ_7dDXMJ"&amp;"VRLDlaFSOdPM/edit?usp=sharing"",""ตราด!L328"")+IMPORTRANGE(""https://docs.google.com/spreadsheets/d/18hSgUJ3VwClqi_qtULmmW3cLr0oe3OKaSYoKzdpTsYQ/edit?usp=sharing"",""นครนายก!L328"")+IMPORTRANGE(""https://docs.google.com/spreadsheets/d/1YTZo6WM2dQ6Ix6FSdnL"&amp;"5P7uVnVKu40sxZu975tgG10E/edit?usp=sharing"",""นครปฐม!L328"")+IMPORTRANGE(""https://docs.google.com/spreadsheets/d/1OYoGg4WDg5RIzwGeB10padOxJF9E_Vljuvvct_M7RDo/edit?usp=sharing"",""ปทุมธานี!L328"")+IMPORTRANGE(""https://docs.google.com/spreadsheets/d/1GbCI"&amp;"E4D4wk9FUozzqk7SxfDMxDVBwVmI5zcaVUSzKAc/edit?usp=sharing"",""ประจวบคีรีขันธ์!L328"")+IMPORTRANGE(""https://docs.google.com/spreadsheets/d/1vVf6wykvW_lAyu7Yo9L4hUTqHqIeP_qcVuxCtosJEbg/edit?usp=sharing"",""ปราจีนบุรี!L328"")+IMPORTRANGE(""https://docs.googl"&amp;"e.com/spreadsheets/d/1BIDqLLg5jk3v59G8NlR8rk5xfQDKne0sAvZHSj7TI6I/edit?usp=sharing"",""พระนครศรีอยุธยา!L328"")+IMPORTRANGE(""https://docs.google.com/spreadsheets/d/1YXvxf8Yu6_rV4hTBrwMqAcAnv6DfhUxh5emyM3CJp_w/edit?usp=sharing"",""เพชรบุรี!L328"")+IMPORTRA"&amp;"NGE(""https://docs.google.com/spreadsheets/d/19KBlQQs7uwvsao6t2n-KvW3Ax8J8uRRfZPq1zPbXgKc/edit?usp=sharing"",""ระยอง!L328"")+IMPORTRANGE(""https://docs.google.com/spreadsheets/d/1jQ6P4QcrGM89YfqcC_PxOHGCMq5ezhucwJd8ci-NHng/edit?usp=sharing"",""ราชบุรี!L32"&amp;"8"")+IMPORTRANGE(""https://docs.google.com/spreadsheets/d/1lufeA2cfFqM-elVq2hznhDzC6Pr7wkJ9ZG_sYNGCMCU/edit?usp=sharing"",""ลพบุรี!L328"")+IMPORTRANGE(""https://docs.google.com/spreadsheets/d/10oOiF7loTyfsTkbd4MpaIm0HQ9SwB7IYHdIUvt-U1Uc/edit?usp=sharing"""&amp;",""สระแก้ว!L328"")+IMPORTRANGE(""https://docs.google.com/spreadsheets/d/1xmPlrr1QbdSIKvl1dWUl9K4PjAfSL9oeMr_37QVzcxc/edit?usp=sharing"",""สระบุรี!L328"")+IMPORTRANGE(""https://docs.google.com/spreadsheets/d/1j51vR6CYVGhABJpv6tkstgok82RLpXieLzW1yOY5rHw/edi"&amp;"t?usp=sharing"",""สิงห์บุรี!L328"")+IMPORTRANGE(""https://docs.google.com/spreadsheets/d/1H1EalTWKUSzO4Z1-1CwzoDUaVffgrThEBe2sl74kKG0/edit?usp=sharing"",""สุพรรณบุรี!L328"")+IMPORTRANGE(""https://docs.google.com/spreadsheets/d/1BmIruG_sIrJLYao_Pdr7zVArWsf"&amp;"oBt2692TMi6x_854/edit?usp=sharing"",""อ่างทอง!L328"")"),0)</f>
        <v>0</v>
      </c>
      <c r="M328" s="59">
        <f ca="1">IFERROR(__xludf.DUMMYFUNCTION("IMPORTRANGE(""https://docs.google.com/spreadsheets/d/13wPX838HrBrQMCywv1BsuMkt4PEKTChp52zj44s2izQ/edit?usp=sharing"",""กาญจนบุรี!M328"")+IMPORTRANGE(""https://docs.google.com/spreadsheets/d/1ddFKvqj1W1NEiWytbGlB1zMx_ykJDVtmfEQ-6-lIUBA/edit?usp=sharing"","&amp;"""จันทบุรี!M328"")+IMPORTRANGE(""https://docs.google.com/spreadsheets/d/1T1PQvRODqOBZk8BRht_U031fIS1beLA0Ub2CEytj2q0/edit?usp=sharing"",""ฉะเชิงเทรา!M328"")+IMPORTRANGE(""https://docs.google.com/spreadsheets/d/11tr1B-Bhyr79v2bkwVh5h_fR-PStkgjlZtkrZpYurG0/"&amp;"edit?usp=sharing"",""ชลบุรี!M328"")+IMPORTRANGE(""https://docs.google.com/spreadsheets/d/1hh-FVnSX0vozXhGluamEcS54Dw9_zqW0N7qJUWgJ0Sw/edit?usp=sharing"",""ชัยนาท!M328"")+IMPORTRANGE(""https://docs.google.com/spreadsheets/d/1jkqa6GXxSacMcY1eN8AHjMNJ_7dDXMJ"&amp;"VRLDlaFSOdPM/edit?usp=sharing"",""ตราด!M328"")+IMPORTRANGE(""https://docs.google.com/spreadsheets/d/18hSgUJ3VwClqi_qtULmmW3cLr0oe3OKaSYoKzdpTsYQ/edit?usp=sharing"",""นครนายก!M328"")+IMPORTRANGE(""https://docs.google.com/spreadsheets/d/1YTZo6WM2dQ6Ix6FSdnL"&amp;"5P7uVnVKu40sxZu975tgG10E/edit?usp=sharing"",""นครปฐม!M328"")+IMPORTRANGE(""https://docs.google.com/spreadsheets/d/1OYoGg4WDg5RIzwGeB10padOxJF9E_Vljuvvct_M7RDo/edit?usp=sharing"",""ปทุมธานี!M328"")+IMPORTRANGE(""https://docs.google.com/spreadsheets/d/1GbCI"&amp;"E4D4wk9FUozzqk7SxfDMxDVBwVmI5zcaVUSzKAc/edit?usp=sharing"",""ประจวบคีรีขันธ์!M328"")+IMPORTRANGE(""https://docs.google.com/spreadsheets/d/1vVf6wykvW_lAyu7Yo9L4hUTqHqIeP_qcVuxCtosJEbg/edit?usp=sharing"",""ปราจีนบุรี!M328"")+IMPORTRANGE(""https://docs.googl"&amp;"e.com/spreadsheets/d/1BIDqLLg5jk3v59G8NlR8rk5xfQDKne0sAvZHSj7TI6I/edit?usp=sharing"",""พระนครศรีอยุธยา!M328"")+IMPORTRANGE(""https://docs.google.com/spreadsheets/d/1YXvxf8Yu6_rV4hTBrwMqAcAnv6DfhUxh5emyM3CJp_w/edit?usp=sharing"",""เพชรบุรี!M328"")+IMPORTRA"&amp;"NGE(""https://docs.google.com/spreadsheets/d/19KBlQQs7uwvsao6t2n-KvW3Ax8J8uRRfZPq1zPbXgKc/edit?usp=sharing"",""ระยอง!M328"")+IMPORTRANGE(""https://docs.google.com/spreadsheets/d/1jQ6P4QcrGM89YfqcC_PxOHGCMq5ezhucwJd8ci-NHng/edit?usp=sharing"",""ราชบุรี!M32"&amp;"8"")+IMPORTRANGE(""https://docs.google.com/spreadsheets/d/1lufeA2cfFqM-elVq2hznhDzC6Pr7wkJ9ZG_sYNGCMCU/edit?usp=sharing"",""ลพบุรี!M328"")+IMPORTRANGE(""https://docs.google.com/spreadsheets/d/10oOiF7loTyfsTkbd4MpaIm0HQ9SwB7IYHdIUvt-U1Uc/edit?usp=sharing"""&amp;",""สระแก้ว!M328"")+IMPORTRANGE(""https://docs.google.com/spreadsheets/d/1xmPlrr1QbdSIKvl1dWUl9K4PjAfSL9oeMr_37QVzcxc/edit?usp=sharing"",""สระบุรี!M328"")+IMPORTRANGE(""https://docs.google.com/spreadsheets/d/1j51vR6CYVGhABJpv6tkstgok82RLpXieLzW1yOY5rHw/edi"&amp;"t?usp=sharing"",""สิงห์บุรี!M328"")+IMPORTRANGE(""https://docs.google.com/spreadsheets/d/1H1EalTWKUSzO4Z1-1CwzoDUaVffgrThEBe2sl74kKG0/edit?usp=sharing"",""สุพรรณบุรี!M328"")+IMPORTRANGE(""https://docs.google.com/spreadsheets/d/1BmIruG_sIrJLYao_Pdr7zVArWsf"&amp;"oBt2692TMi6x_854/edit?usp=sharing"",""อ่างทอง!M328"")"),0)</f>
        <v>0</v>
      </c>
      <c r="N328" s="59">
        <f ca="1">IFERROR(__xludf.DUMMYFUNCTION("IMPORTRANGE(""https://docs.google.com/spreadsheets/d/13wPX838HrBrQMCywv1BsuMkt4PEKTChp52zj44s2izQ/edit?usp=sharing"",""กาญจนบุรี!N328"")+IMPORTRANGE(""https://docs.google.com/spreadsheets/d/1ddFKvqj1W1NEiWytbGlB1zMx_ykJDVtmfEQ-6-lIUBA/edit?usp=sharing"","&amp;"""จันทบุรี!N328"")+IMPORTRANGE(""https://docs.google.com/spreadsheets/d/1T1PQvRODqOBZk8BRht_U031fIS1beLA0Ub2CEytj2q0/edit?usp=sharing"",""ฉะเชิงเทรา!N328"")+IMPORTRANGE(""https://docs.google.com/spreadsheets/d/11tr1B-Bhyr79v2bkwVh5h_fR-PStkgjlZtkrZpYurG0/"&amp;"edit?usp=sharing"",""ชลบุรี!N328"")+IMPORTRANGE(""https://docs.google.com/spreadsheets/d/1hh-FVnSX0vozXhGluamEcS54Dw9_zqW0N7qJUWgJ0Sw/edit?usp=sharing"",""ชัยนาท!N328"")+IMPORTRANGE(""https://docs.google.com/spreadsheets/d/1jkqa6GXxSacMcY1eN8AHjMNJ_7dDXMJ"&amp;"VRLDlaFSOdPM/edit?usp=sharing"",""ตราด!N328"")+IMPORTRANGE(""https://docs.google.com/spreadsheets/d/18hSgUJ3VwClqi_qtULmmW3cLr0oe3OKaSYoKzdpTsYQ/edit?usp=sharing"",""นครนายก!N328"")+IMPORTRANGE(""https://docs.google.com/spreadsheets/d/1YTZo6WM2dQ6Ix6FSdnL"&amp;"5P7uVnVKu40sxZu975tgG10E/edit?usp=sharing"",""นครปฐม!N328"")+IMPORTRANGE(""https://docs.google.com/spreadsheets/d/1OYoGg4WDg5RIzwGeB10padOxJF9E_Vljuvvct_M7RDo/edit?usp=sharing"",""ปทุมธานี!N328"")+IMPORTRANGE(""https://docs.google.com/spreadsheets/d/1GbCI"&amp;"E4D4wk9FUozzqk7SxfDMxDVBwVmI5zcaVUSzKAc/edit?usp=sharing"",""ประจวบคีรีขันธ์!N328"")+IMPORTRANGE(""https://docs.google.com/spreadsheets/d/1vVf6wykvW_lAyu7Yo9L4hUTqHqIeP_qcVuxCtosJEbg/edit?usp=sharing"",""ปราจีนบุรี!N328"")+IMPORTRANGE(""https://docs.googl"&amp;"e.com/spreadsheets/d/1BIDqLLg5jk3v59G8NlR8rk5xfQDKne0sAvZHSj7TI6I/edit?usp=sharing"",""พระนครศรีอยุธยา!N328"")+IMPORTRANGE(""https://docs.google.com/spreadsheets/d/1YXvxf8Yu6_rV4hTBrwMqAcAnv6DfhUxh5emyM3CJp_w/edit?usp=sharing"",""เพชรบุรี!N328"")+IMPORTRA"&amp;"NGE(""https://docs.google.com/spreadsheets/d/19KBlQQs7uwvsao6t2n-KvW3Ax8J8uRRfZPq1zPbXgKc/edit?usp=sharing"",""ระยอง!N328"")+IMPORTRANGE(""https://docs.google.com/spreadsheets/d/1jQ6P4QcrGM89YfqcC_PxOHGCMq5ezhucwJd8ci-NHng/edit?usp=sharing"",""ราชบุรี!N32"&amp;"8"")+IMPORTRANGE(""https://docs.google.com/spreadsheets/d/1lufeA2cfFqM-elVq2hznhDzC6Pr7wkJ9ZG_sYNGCMCU/edit?usp=sharing"",""ลพบุรี!N328"")+IMPORTRANGE(""https://docs.google.com/spreadsheets/d/10oOiF7loTyfsTkbd4MpaIm0HQ9SwB7IYHdIUvt-U1Uc/edit?usp=sharing"""&amp;",""สระแก้ว!N328"")+IMPORTRANGE(""https://docs.google.com/spreadsheets/d/1xmPlrr1QbdSIKvl1dWUl9K4PjAfSL9oeMr_37QVzcxc/edit?usp=sharing"",""สระบุรี!N328"")+IMPORTRANGE(""https://docs.google.com/spreadsheets/d/1j51vR6CYVGhABJpv6tkstgok82RLpXieLzW1yOY5rHw/edi"&amp;"t?usp=sharing"",""สิงห์บุรี!N328"")+IMPORTRANGE(""https://docs.google.com/spreadsheets/d/1H1EalTWKUSzO4Z1-1CwzoDUaVffgrThEBe2sl74kKG0/edit?usp=sharing"",""สุพรรณบุรี!N328"")+IMPORTRANGE(""https://docs.google.com/spreadsheets/d/1BmIruG_sIrJLYao_Pdr7zVArWsf"&amp;"oBt2692TMi6x_854/edit?usp=sharing"",""อ่างทอง!N328"")"),0)</f>
        <v>0</v>
      </c>
      <c r="O328" s="59">
        <f t="shared" ca="1" si="138"/>
        <v>0</v>
      </c>
      <c r="P328" s="59">
        <f t="shared" ca="1" si="139"/>
        <v>0</v>
      </c>
    </row>
    <row r="329" spans="1:16" ht="19.5" x14ac:dyDescent="0.3">
      <c r="A329" s="167"/>
      <c r="B329" s="168"/>
      <c r="C329" s="158" t="s">
        <v>16</v>
      </c>
      <c r="D329" s="169" t="s">
        <v>36</v>
      </c>
      <c r="E329" s="170"/>
      <c r="F329" s="170"/>
      <c r="G329" s="171"/>
      <c r="H329" s="172"/>
      <c r="I329" s="164"/>
      <c r="J329" s="57"/>
      <c r="K329" s="58"/>
      <c r="L329" s="58"/>
      <c r="M329" s="58"/>
      <c r="N329" s="58"/>
      <c r="O329" s="165"/>
      <c r="P329" s="165"/>
    </row>
    <row r="330" spans="1:16" ht="18.75" x14ac:dyDescent="0.25">
      <c r="A330" s="167"/>
      <c r="B330" s="168"/>
      <c r="C330" s="168"/>
      <c r="D330" s="173" t="s">
        <v>127</v>
      </c>
      <c r="E330" s="174"/>
      <c r="F330" s="174"/>
      <c r="G330" s="172"/>
      <c r="H330" s="56" t="s">
        <v>126</v>
      </c>
      <c r="I330" s="196">
        <f ca="1">IFERROR(__xludf.DUMMYFUNCTION("IMPORTRANGE(""https://docs.google.com/spreadsheets/d/13wPX838HrBrQMCywv1BsuMkt4PEKTChp52zj44s2izQ/edit?usp=sharing"",""กาญจนบุรี!I330"")+IMPORTRANGE(""https://docs.google.com/spreadsheets/d/1ddFKvqj1W1NEiWytbGlB1zMx_ykJDVtmfEQ-6-lIUBA/edit?usp=sharing"","&amp;"""จันทบุรี!I330"")+IMPORTRANGE(""https://docs.google.com/spreadsheets/d/1T1PQvRODqOBZk8BRht_U031fIS1beLA0Ub2CEytj2q0/edit?usp=sharing"",""ฉะเชิงเทรา!I330"")+IMPORTRANGE(""https://docs.google.com/spreadsheets/d/11tr1B-Bhyr79v2bkwVh5h_fR-PStkgjlZtkrZpYurG0/"&amp;"edit?usp=sharing"",""ชลบุรี!I330"")+IMPORTRANGE(""https://docs.google.com/spreadsheets/d/1hh-FVnSX0vozXhGluamEcS54Dw9_zqW0N7qJUWgJ0Sw/edit?usp=sharing"",""ชัยนาท!I330"")+IMPORTRANGE(""https://docs.google.com/spreadsheets/d/1jkqa6GXxSacMcY1eN8AHjMNJ_7dDXMJ"&amp;"VRLDlaFSOdPM/edit?usp=sharing"",""ตราด!I330"")+IMPORTRANGE(""https://docs.google.com/spreadsheets/d/18hSgUJ3VwClqi_qtULmmW3cLr0oe3OKaSYoKzdpTsYQ/edit?usp=sharing"",""นครนายก!I330"")+IMPORTRANGE(""https://docs.google.com/spreadsheets/d/1YTZo6WM2dQ6Ix6FSdnL"&amp;"5P7uVnVKu40sxZu975tgG10E/edit?usp=sharing"",""นครปฐม!I330"")+IMPORTRANGE(""https://docs.google.com/spreadsheets/d/1OYoGg4WDg5RIzwGeB10padOxJF9E_Vljuvvct_M7RDo/edit?usp=sharing"",""ปทุมธานี!I330"")+IMPORTRANGE(""https://docs.google.com/spreadsheets/d/1GbCI"&amp;"E4D4wk9FUozzqk7SxfDMxDVBwVmI5zcaVUSzKAc/edit?usp=sharing"",""ประจวบคีรีขันธ์!I330"")+IMPORTRANGE(""https://docs.google.com/spreadsheets/d/1vVf6wykvW_lAyu7Yo9L4hUTqHqIeP_qcVuxCtosJEbg/edit?usp=sharing"",""ปราจีนบุรี!I330"")+IMPORTRANGE(""https://docs.googl"&amp;"e.com/spreadsheets/d/1BIDqLLg5jk3v59G8NlR8rk5xfQDKne0sAvZHSj7TI6I/edit?usp=sharing"",""พระนครศรีอยุธยา!I330"")+IMPORTRANGE(""https://docs.google.com/spreadsheets/d/1YXvxf8Yu6_rV4hTBrwMqAcAnv6DfhUxh5emyM3CJp_w/edit?usp=sharing"",""เพชรบุรี!I330"")+IMPORTRA"&amp;"NGE(""https://docs.google.com/spreadsheets/d/19KBlQQs7uwvsao6t2n-KvW3Ax8J8uRRfZPq1zPbXgKc/edit?usp=sharing"",""ระยอง!I330"")+IMPORTRANGE(""https://docs.google.com/spreadsheets/d/1jQ6P4QcrGM89YfqcC_PxOHGCMq5ezhucwJd8ci-NHng/edit?usp=sharing"",""ราชบุรี!I33"&amp;"0"")+IMPORTRANGE(""https://docs.google.com/spreadsheets/d/1lufeA2cfFqM-elVq2hznhDzC6Pr7wkJ9ZG_sYNGCMCU/edit?usp=sharing"",""ลพบุรี!I330"")+IMPORTRANGE(""https://docs.google.com/spreadsheets/d/10oOiF7loTyfsTkbd4MpaIm0HQ9SwB7IYHdIUvt-U1Uc/edit?usp=sharing"""&amp;",""สระแก้ว!I330"")+IMPORTRANGE(""https://docs.google.com/spreadsheets/d/1xmPlrr1QbdSIKvl1dWUl9K4PjAfSL9oeMr_37QVzcxc/edit?usp=sharing"",""สระบุรี!I330"")+IMPORTRANGE(""https://docs.google.com/spreadsheets/d/1j51vR6CYVGhABJpv6tkstgok82RLpXieLzW1yOY5rHw/edi"&amp;"t?usp=sharing"",""สิงห์บุรี!I330"")+IMPORTRANGE(""https://docs.google.com/spreadsheets/d/1H1EalTWKUSzO4Z1-1CwzoDUaVffgrThEBe2sl74kKG0/edit?usp=sharing"",""สุพรรณบุรี!I330"")+IMPORTRANGE(""https://docs.google.com/spreadsheets/d/1BmIruG_sIrJLYao_Pdr7zVArWsf"&amp;"oBt2692TMi6x_854/edit?usp=sharing"",""อ่างทอง!I330"")"),3)</f>
        <v>3</v>
      </c>
      <c r="J330" s="196">
        <f ca="1">IFERROR(__xludf.DUMMYFUNCTION("IMPORTRANGE(""https://docs.google.com/spreadsheets/d/13wPX838HrBrQMCywv1BsuMkt4PEKTChp52zj44s2izQ/edit?usp=sharing"",""กาญจนบุรี!J330"")+IMPORTRANGE(""https://docs.google.com/spreadsheets/d/1ddFKvqj1W1NEiWytbGlB1zMx_ykJDVtmfEQ-6-lIUBA/edit?usp=sharing"","&amp;"""จันทบุรี!J330"")+IMPORTRANGE(""https://docs.google.com/spreadsheets/d/1T1PQvRODqOBZk8BRht_U031fIS1beLA0Ub2CEytj2q0/edit?usp=sharing"",""ฉะเชิงเทรา!J330"")+IMPORTRANGE(""https://docs.google.com/spreadsheets/d/11tr1B-Bhyr79v2bkwVh5h_fR-PStkgjlZtkrZpYurG0/"&amp;"edit?usp=sharing"",""ชลบุรี!J330"")+IMPORTRANGE(""https://docs.google.com/spreadsheets/d/1hh-FVnSX0vozXhGluamEcS54Dw9_zqW0N7qJUWgJ0Sw/edit?usp=sharing"",""ชัยนาท!J330"")+IMPORTRANGE(""https://docs.google.com/spreadsheets/d/1jkqa6GXxSacMcY1eN8AHjMNJ_7dDXMJ"&amp;"VRLDlaFSOdPM/edit?usp=sharing"",""ตราด!J330"")+IMPORTRANGE(""https://docs.google.com/spreadsheets/d/18hSgUJ3VwClqi_qtULmmW3cLr0oe3OKaSYoKzdpTsYQ/edit?usp=sharing"",""นครนายก!J330"")+IMPORTRANGE(""https://docs.google.com/spreadsheets/d/1YTZo6WM2dQ6Ix6FSdnL"&amp;"5P7uVnVKu40sxZu975tgG10E/edit?usp=sharing"",""นครปฐม!J330"")+IMPORTRANGE(""https://docs.google.com/spreadsheets/d/1OYoGg4WDg5RIzwGeB10padOxJF9E_Vljuvvct_M7RDo/edit?usp=sharing"",""ปทุมธานี!J330"")+IMPORTRANGE(""https://docs.google.com/spreadsheets/d/1GbCI"&amp;"E4D4wk9FUozzqk7SxfDMxDVBwVmI5zcaVUSzKAc/edit?usp=sharing"",""ประจวบคีรีขันธ์!J330"")+IMPORTRANGE(""https://docs.google.com/spreadsheets/d/1vVf6wykvW_lAyu7Yo9L4hUTqHqIeP_qcVuxCtosJEbg/edit?usp=sharing"",""ปราจีนบุรี!J330"")+IMPORTRANGE(""https://docs.googl"&amp;"e.com/spreadsheets/d/1BIDqLLg5jk3v59G8NlR8rk5xfQDKne0sAvZHSj7TI6I/edit?usp=sharing"",""พระนครศรีอยุธยา!J330"")+IMPORTRANGE(""https://docs.google.com/spreadsheets/d/1YXvxf8Yu6_rV4hTBrwMqAcAnv6DfhUxh5emyM3CJp_w/edit?usp=sharing"",""เพชรบุรี!J330"")+IMPORTRA"&amp;"NGE(""https://docs.google.com/spreadsheets/d/19KBlQQs7uwvsao6t2n-KvW3Ax8J8uRRfZPq1zPbXgKc/edit?usp=sharing"",""ระยอง!J330"")+IMPORTRANGE(""https://docs.google.com/spreadsheets/d/1jQ6P4QcrGM89YfqcC_PxOHGCMq5ezhucwJd8ci-NHng/edit?usp=sharing"",""ราชบุรี!J33"&amp;"0"")+IMPORTRANGE(""https://docs.google.com/spreadsheets/d/1lufeA2cfFqM-elVq2hznhDzC6Pr7wkJ9ZG_sYNGCMCU/edit?usp=sharing"",""ลพบุรี!J330"")+IMPORTRANGE(""https://docs.google.com/spreadsheets/d/10oOiF7loTyfsTkbd4MpaIm0HQ9SwB7IYHdIUvt-U1Uc/edit?usp=sharing"""&amp;",""สระแก้ว!J330"")+IMPORTRANGE(""https://docs.google.com/spreadsheets/d/1xmPlrr1QbdSIKvl1dWUl9K4PjAfSL9oeMr_37QVzcxc/edit?usp=sharing"",""สระบุรี!J330"")+IMPORTRANGE(""https://docs.google.com/spreadsheets/d/1j51vR6CYVGhABJpv6tkstgok82RLpXieLzW1yOY5rHw/edi"&amp;"t?usp=sharing"",""สิงห์บุรี!J330"")+IMPORTRANGE(""https://docs.google.com/spreadsheets/d/1H1EalTWKUSzO4Z1-1CwzoDUaVffgrThEBe2sl74kKG0/edit?usp=sharing"",""สุพรรณบุรี!J330"")+IMPORTRANGE(""https://docs.google.com/spreadsheets/d/1BmIruG_sIrJLYao_Pdr7zVArWsf"&amp;"oBt2692TMi6x_854/edit?usp=sharing"",""อ่างทอง!J330"")"),1)</f>
        <v>1</v>
      </c>
      <c r="K330" s="59">
        <f ca="1">IF(I330&gt;0,J330*100/I330,0)</f>
        <v>33.333333333333336</v>
      </c>
      <c r="L330" s="58"/>
      <c r="M330" s="58"/>
      <c r="N330" s="58"/>
      <c r="O330" s="165"/>
      <c r="P330" s="165"/>
    </row>
    <row r="331" spans="1:16" ht="19.5" x14ac:dyDescent="0.3">
      <c r="A331" s="386" t="s">
        <v>128</v>
      </c>
      <c r="B331" s="387"/>
      <c r="C331" s="387"/>
      <c r="D331" s="388"/>
      <c r="E331" s="387"/>
      <c r="F331" s="387"/>
      <c r="G331" s="387"/>
      <c r="H331" s="388"/>
      <c r="I331" s="390"/>
      <c r="J331" s="390"/>
      <c r="K331" s="391"/>
      <c r="L331" s="391"/>
      <c r="M331" s="391"/>
      <c r="N331" s="391"/>
      <c r="O331" s="391"/>
      <c r="P331" s="391"/>
    </row>
    <row r="332" spans="1:16" ht="19.5" x14ac:dyDescent="0.3">
      <c r="A332" s="392"/>
      <c r="B332" s="393" t="s">
        <v>129</v>
      </c>
      <c r="C332" s="402"/>
      <c r="D332" s="394"/>
      <c r="E332" s="394"/>
      <c r="F332" s="394"/>
      <c r="G332" s="395"/>
      <c r="H332" s="396" t="s">
        <v>33</v>
      </c>
      <c r="I332" s="403">
        <f ca="1">I344</f>
        <v>19420</v>
      </c>
      <c r="J332" s="404">
        <f ca="1">J344+J347+J348+J349+J353</f>
        <v>35676</v>
      </c>
      <c r="K332" s="405">
        <f ca="1">IF(I332&gt;0,J332*100/I332,0)</f>
        <v>183.70751802265704</v>
      </c>
      <c r="L332" s="399"/>
      <c r="M332" s="399"/>
      <c r="N332" s="399"/>
      <c r="O332" s="399"/>
      <c r="P332" s="399"/>
    </row>
    <row r="333" spans="1:16" ht="19.5" x14ac:dyDescent="0.3">
      <c r="A333" s="157"/>
      <c r="B333" s="53"/>
      <c r="C333" s="158" t="s">
        <v>16</v>
      </c>
      <c r="D333" s="159" t="s">
        <v>17</v>
      </c>
      <c r="E333" s="53"/>
      <c r="F333" s="53"/>
      <c r="G333" s="55"/>
      <c r="H333" s="160" t="s">
        <v>12</v>
      </c>
      <c r="I333" s="57"/>
      <c r="J333" s="57"/>
      <c r="K333" s="58"/>
      <c r="L333" s="161">
        <f t="shared" ref="L333:N333" ca="1" si="144">L334+L335</f>
        <v>4015000</v>
      </c>
      <c r="M333" s="161">
        <f t="shared" ca="1" si="144"/>
        <v>3026750</v>
      </c>
      <c r="N333" s="161">
        <f t="shared" ca="1" si="144"/>
        <v>1025656.96</v>
      </c>
      <c r="O333" s="161">
        <f t="shared" ref="O333:O341" ca="1" si="145">IF(L333&gt;0,N333*100/L333,0)</f>
        <v>25.545627895392279</v>
      </c>
      <c r="P333" s="161">
        <f t="shared" ref="P333:P341" ca="1" si="146">IF(M333&gt;0,N333*100/M333,0)</f>
        <v>33.886411497480793</v>
      </c>
    </row>
    <row r="334" spans="1:16" ht="18.75" x14ac:dyDescent="0.25">
      <c r="A334" s="157"/>
      <c r="B334" s="53"/>
      <c r="C334" s="53"/>
      <c r="D334" s="53"/>
      <c r="E334" s="60" t="s">
        <v>18</v>
      </c>
      <c r="F334" s="53"/>
      <c r="G334" s="55"/>
      <c r="H334" s="162" t="s">
        <v>12</v>
      </c>
      <c r="I334" s="57"/>
      <c r="J334" s="57"/>
      <c r="K334" s="58"/>
      <c r="L334" s="59">
        <f t="shared" ref="L334:N334" ca="1" si="147">L337+L340</f>
        <v>0</v>
      </c>
      <c r="M334" s="59">
        <f t="shared" ca="1" si="147"/>
        <v>0</v>
      </c>
      <c r="N334" s="59">
        <f t="shared" ca="1" si="147"/>
        <v>0</v>
      </c>
      <c r="O334" s="59">
        <f t="shared" ca="1" si="145"/>
        <v>0</v>
      </c>
      <c r="P334" s="59">
        <f t="shared" ca="1" si="146"/>
        <v>0</v>
      </c>
    </row>
    <row r="335" spans="1:16" ht="18.75" x14ac:dyDescent="0.25">
      <c r="A335" s="157"/>
      <c r="B335" s="53"/>
      <c r="C335" s="53"/>
      <c r="D335" s="53"/>
      <c r="E335" s="60" t="s">
        <v>19</v>
      </c>
      <c r="F335" s="53"/>
      <c r="G335" s="55"/>
      <c r="H335" s="162" t="s">
        <v>12</v>
      </c>
      <c r="I335" s="57"/>
      <c r="J335" s="57"/>
      <c r="K335" s="58"/>
      <c r="L335" s="59">
        <f t="shared" ref="L335:N335" ca="1" si="148">L338+L341</f>
        <v>4015000</v>
      </c>
      <c r="M335" s="59">
        <f t="shared" ca="1" si="148"/>
        <v>3026750</v>
      </c>
      <c r="N335" s="59">
        <f t="shared" ca="1" si="148"/>
        <v>1025656.96</v>
      </c>
      <c r="O335" s="59">
        <f t="shared" ca="1" si="145"/>
        <v>25.545627895392279</v>
      </c>
      <c r="P335" s="59">
        <f t="shared" ca="1" si="146"/>
        <v>33.886411497480793</v>
      </c>
    </row>
    <row r="336" spans="1:16" ht="18.75" x14ac:dyDescent="0.25">
      <c r="A336" s="157"/>
      <c r="B336" s="53"/>
      <c r="C336" s="53"/>
      <c r="D336" s="54" t="s">
        <v>20</v>
      </c>
      <c r="E336" s="53"/>
      <c r="F336" s="53"/>
      <c r="G336" s="55"/>
      <c r="H336" s="163" t="s">
        <v>12</v>
      </c>
      <c r="I336" s="164"/>
      <c r="J336" s="164"/>
      <c r="K336" s="165"/>
      <c r="L336" s="59">
        <f t="shared" ref="L336:N336" ca="1" si="149">L337+L338</f>
        <v>4015000</v>
      </c>
      <c r="M336" s="59">
        <f t="shared" ca="1" si="149"/>
        <v>3026750</v>
      </c>
      <c r="N336" s="59">
        <f t="shared" ca="1" si="149"/>
        <v>1025656.96</v>
      </c>
      <c r="O336" s="59">
        <f t="shared" ca="1" si="145"/>
        <v>25.545627895392279</v>
      </c>
      <c r="P336" s="59">
        <f t="shared" ca="1" si="146"/>
        <v>33.886411497480793</v>
      </c>
    </row>
    <row r="337" spans="1:16" ht="18.75" x14ac:dyDescent="0.25">
      <c r="A337" s="157"/>
      <c r="B337" s="53"/>
      <c r="C337" s="53"/>
      <c r="D337" s="53"/>
      <c r="E337" s="60" t="s">
        <v>34</v>
      </c>
      <c r="F337" s="53"/>
      <c r="G337" s="55"/>
      <c r="H337" s="163" t="s">
        <v>12</v>
      </c>
      <c r="I337" s="164"/>
      <c r="J337" s="164"/>
      <c r="K337" s="165"/>
      <c r="L337" s="59">
        <f ca="1">IFERROR(__xludf.DUMMYFUNCTION("IMPORTRANGE(""https://docs.google.com/spreadsheets/d/13wPX838HrBrQMCywv1BsuMkt4PEKTChp52zj44s2izQ/edit?usp=sharing"",""กาญจนบุรี!L337"")+IMPORTRANGE(""https://docs.google.com/spreadsheets/d/1ddFKvqj1W1NEiWytbGlB1zMx_ykJDVtmfEQ-6-lIUBA/edit?usp=sharing"","&amp;"""จันทบุรี!L337"")+IMPORTRANGE(""https://docs.google.com/spreadsheets/d/1T1PQvRODqOBZk8BRht_U031fIS1beLA0Ub2CEytj2q0/edit?usp=sharing"",""ฉะเชิงเทรา!L337"")+IMPORTRANGE(""https://docs.google.com/spreadsheets/d/11tr1B-Bhyr79v2bkwVh5h_fR-PStkgjlZtkrZpYurG0/"&amp;"edit?usp=sharing"",""ชลบุรี!L337"")+IMPORTRANGE(""https://docs.google.com/spreadsheets/d/1hh-FVnSX0vozXhGluamEcS54Dw9_zqW0N7qJUWgJ0Sw/edit?usp=sharing"",""ชัยนาท!L337"")+IMPORTRANGE(""https://docs.google.com/spreadsheets/d/1jkqa6GXxSacMcY1eN8AHjMNJ_7dDXMJ"&amp;"VRLDlaFSOdPM/edit?usp=sharing"",""ตราด!L337"")+IMPORTRANGE(""https://docs.google.com/spreadsheets/d/18hSgUJ3VwClqi_qtULmmW3cLr0oe3OKaSYoKzdpTsYQ/edit?usp=sharing"",""นครนายก!L337"")+IMPORTRANGE(""https://docs.google.com/spreadsheets/d/1YTZo6WM2dQ6Ix6FSdnL"&amp;"5P7uVnVKu40sxZu975tgG10E/edit?usp=sharing"",""นครปฐม!L337"")+IMPORTRANGE(""https://docs.google.com/spreadsheets/d/1OYoGg4WDg5RIzwGeB10padOxJF9E_Vljuvvct_M7RDo/edit?usp=sharing"",""ปทุมธานี!L337"")+IMPORTRANGE(""https://docs.google.com/spreadsheets/d/1GbCI"&amp;"E4D4wk9FUozzqk7SxfDMxDVBwVmI5zcaVUSzKAc/edit?usp=sharing"",""ประจวบคีรีขันธ์!L337"")+IMPORTRANGE(""https://docs.google.com/spreadsheets/d/1vVf6wykvW_lAyu7Yo9L4hUTqHqIeP_qcVuxCtosJEbg/edit?usp=sharing"",""ปราจีนบุรี!L337"")+IMPORTRANGE(""https://docs.googl"&amp;"e.com/spreadsheets/d/1BIDqLLg5jk3v59G8NlR8rk5xfQDKne0sAvZHSj7TI6I/edit?usp=sharing"",""พระนครศรีอยุธยา!L337"")+IMPORTRANGE(""https://docs.google.com/spreadsheets/d/1YXvxf8Yu6_rV4hTBrwMqAcAnv6DfhUxh5emyM3CJp_w/edit?usp=sharing"",""เพชรบุรี!L337"")+IMPORTRA"&amp;"NGE(""https://docs.google.com/spreadsheets/d/19KBlQQs7uwvsao6t2n-KvW3Ax8J8uRRfZPq1zPbXgKc/edit?usp=sharing"",""ระยอง!L337"")+IMPORTRANGE(""https://docs.google.com/spreadsheets/d/1jQ6P4QcrGM89YfqcC_PxOHGCMq5ezhucwJd8ci-NHng/edit?usp=sharing"",""ราชบุรี!L33"&amp;"7"")+IMPORTRANGE(""https://docs.google.com/spreadsheets/d/1lufeA2cfFqM-elVq2hznhDzC6Pr7wkJ9ZG_sYNGCMCU/edit?usp=sharing"",""ลพบุรี!L337"")+IMPORTRANGE(""https://docs.google.com/spreadsheets/d/10oOiF7loTyfsTkbd4MpaIm0HQ9SwB7IYHdIUvt-U1Uc/edit?usp=sharing"""&amp;",""สระแก้ว!L337"")+IMPORTRANGE(""https://docs.google.com/spreadsheets/d/1xmPlrr1QbdSIKvl1dWUl9K4PjAfSL9oeMr_37QVzcxc/edit?usp=sharing"",""สระบุรี!L337"")+IMPORTRANGE(""https://docs.google.com/spreadsheets/d/1j51vR6CYVGhABJpv6tkstgok82RLpXieLzW1yOY5rHw/edi"&amp;"t?usp=sharing"",""สิงห์บุรี!L337"")+IMPORTRANGE(""https://docs.google.com/spreadsheets/d/1H1EalTWKUSzO4Z1-1CwzoDUaVffgrThEBe2sl74kKG0/edit?usp=sharing"",""สุพรรณบุรี!L337"")+IMPORTRANGE(""https://docs.google.com/spreadsheets/d/1BmIruG_sIrJLYao_Pdr7zVArWsf"&amp;"oBt2692TMi6x_854/edit?usp=sharing"",""อ่างทอง!L337"")"),0)</f>
        <v>0</v>
      </c>
      <c r="M337" s="59">
        <f ca="1">IFERROR(__xludf.DUMMYFUNCTION("IMPORTRANGE(""https://docs.google.com/spreadsheets/d/13wPX838HrBrQMCywv1BsuMkt4PEKTChp52zj44s2izQ/edit?usp=sharing"",""กาญจนบุรี!M337"")+IMPORTRANGE(""https://docs.google.com/spreadsheets/d/1ddFKvqj1W1NEiWytbGlB1zMx_ykJDVtmfEQ-6-lIUBA/edit?usp=sharing"","&amp;"""จันทบุรี!M337"")+IMPORTRANGE(""https://docs.google.com/spreadsheets/d/1T1PQvRODqOBZk8BRht_U031fIS1beLA0Ub2CEytj2q0/edit?usp=sharing"",""ฉะเชิงเทรา!M337"")+IMPORTRANGE(""https://docs.google.com/spreadsheets/d/11tr1B-Bhyr79v2bkwVh5h_fR-PStkgjlZtkrZpYurG0/"&amp;"edit?usp=sharing"",""ชลบุรี!M337"")+IMPORTRANGE(""https://docs.google.com/spreadsheets/d/1hh-FVnSX0vozXhGluamEcS54Dw9_zqW0N7qJUWgJ0Sw/edit?usp=sharing"",""ชัยนาท!M337"")+IMPORTRANGE(""https://docs.google.com/spreadsheets/d/1jkqa6GXxSacMcY1eN8AHjMNJ_7dDXMJ"&amp;"VRLDlaFSOdPM/edit?usp=sharing"",""ตราด!M337"")+IMPORTRANGE(""https://docs.google.com/spreadsheets/d/18hSgUJ3VwClqi_qtULmmW3cLr0oe3OKaSYoKzdpTsYQ/edit?usp=sharing"",""นครนายก!M337"")+IMPORTRANGE(""https://docs.google.com/spreadsheets/d/1YTZo6WM2dQ6Ix6FSdnL"&amp;"5P7uVnVKu40sxZu975tgG10E/edit?usp=sharing"",""นครปฐม!M337"")+IMPORTRANGE(""https://docs.google.com/spreadsheets/d/1OYoGg4WDg5RIzwGeB10padOxJF9E_Vljuvvct_M7RDo/edit?usp=sharing"",""ปทุมธานี!M337"")+IMPORTRANGE(""https://docs.google.com/spreadsheets/d/1GbCI"&amp;"E4D4wk9FUozzqk7SxfDMxDVBwVmI5zcaVUSzKAc/edit?usp=sharing"",""ประจวบคีรีขันธ์!M337"")+IMPORTRANGE(""https://docs.google.com/spreadsheets/d/1vVf6wykvW_lAyu7Yo9L4hUTqHqIeP_qcVuxCtosJEbg/edit?usp=sharing"",""ปราจีนบุรี!M337"")+IMPORTRANGE(""https://docs.googl"&amp;"e.com/spreadsheets/d/1BIDqLLg5jk3v59G8NlR8rk5xfQDKne0sAvZHSj7TI6I/edit?usp=sharing"",""พระนครศรีอยุธยา!M337"")+IMPORTRANGE(""https://docs.google.com/spreadsheets/d/1YXvxf8Yu6_rV4hTBrwMqAcAnv6DfhUxh5emyM3CJp_w/edit?usp=sharing"",""เพชรบุรี!M337"")+IMPORTRA"&amp;"NGE(""https://docs.google.com/spreadsheets/d/19KBlQQs7uwvsao6t2n-KvW3Ax8J8uRRfZPq1zPbXgKc/edit?usp=sharing"",""ระยอง!M337"")+IMPORTRANGE(""https://docs.google.com/spreadsheets/d/1jQ6P4QcrGM89YfqcC_PxOHGCMq5ezhucwJd8ci-NHng/edit?usp=sharing"",""ราชบุรี!M33"&amp;"7"")+IMPORTRANGE(""https://docs.google.com/spreadsheets/d/1lufeA2cfFqM-elVq2hznhDzC6Pr7wkJ9ZG_sYNGCMCU/edit?usp=sharing"",""ลพบุรี!M337"")+IMPORTRANGE(""https://docs.google.com/spreadsheets/d/10oOiF7loTyfsTkbd4MpaIm0HQ9SwB7IYHdIUvt-U1Uc/edit?usp=sharing"""&amp;",""สระแก้ว!M337"")+IMPORTRANGE(""https://docs.google.com/spreadsheets/d/1xmPlrr1QbdSIKvl1dWUl9K4PjAfSL9oeMr_37QVzcxc/edit?usp=sharing"",""สระบุรี!M337"")+IMPORTRANGE(""https://docs.google.com/spreadsheets/d/1j51vR6CYVGhABJpv6tkstgok82RLpXieLzW1yOY5rHw/edi"&amp;"t?usp=sharing"",""สิงห์บุรี!M337"")+IMPORTRANGE(""https://docs.google.com/spreadsheets/d/1H1EalTWKUSzO4Z1-1CwzoDUaVffgrThEBe2sl74kKG0/edit?usp=sharing"",""สุพรรณบุรี!M337"")+IMPORTRANGE(""https://docs.google.com/spreadsheets/d/1BmIruG_sIrJLYao_Pdr7zVArWsf"&amp;"oBt2692TMi6x_854/edit?usp=sharing"",""อ่างทอง!M337"")"),0)</f>
        <v>0</v>
      </c>
      <c r="N337" s="59">
        <f ca="1">IFERROR(__xludf.DUMMYFUNCTION("IMPORTRANGE(""https://docs.google.com/spreadsheets/d/13wPX838HrBrQMCywv1BsuMkt4PEKTChp52zj44s2izQ/edit?usp=sharing"",""กาญจนบุรี!N337"")+IMPORTRANGE(""https://docs.google.com/spreadsheets/d/1ddFKvqj1W1NEiWytbGlB1zMx_ykJDVtmfEQ-6-lIUBA/edit?usp=sharing"","&amp;"""จันทบุรี!N337"")+IMPORTRANGE(""https://docs.google.com/spreadsheets/d/1T1PQvRODqOBZk8BRht_U031fIS1beLA0Ub2CEytj2q0/edit?usp=sharing"",""ฉะเชิงเทรา!N337"")+IMPORTRANGE(""https://docs.google.com/spreadsheets/d/11tr1B-Bhyr79v2bkwVh5h_fR-PStkgjlZtkrZpYurG0/"&amp;"edit?usp=sharing"",""ชลบุรี!N337"")+IMPORTRANGE(""https://docs.google.com/spreadsheets/d/1hh-FVnSX0vozXhGluamEcS54Dw9_zqW0N7qJUWgJ0Sw/edit?usp=sharing"",""ชัยนาท!N337"")+IMPORTRANGE(""https://docs.google.com/spreadsheets/d/1jkqa6GXxSacMcY1eN8AHjMNJ_7dDXMJ"&amp;"VRLDlaFSOdPM/edit?usp=sharing"",""ตราด!N337"")+IMPORTRANGE(""https://docs.google.com/spreadsheets/d/18hSgUJ3VwClqi_qtULmmW3cLr0oe3OKaSYoKzdpTsYQ/edit?usp=sharing"",""นครนายก!N337"")+IMPORTRANGE(""https://docs.google.com/spreadsheets/d/1YTZo6WM2dQ6Ix6FSdnL"&amp;"5P7uVnVKu40sxZu975tgG10E/edit?usp=sharing"",""นครปฐม!N337"")+IMPORTRANGE(""https://docs.google.com/spreadsheets/d/1OYoGg4WDg5RIzwGeB10padOxJF9E_Vljuvvct_M7RDo/edit?usp=sharing"",""ปทุมธานี!N337"")+IMPORTRANGE(""https://docs.google.com/spreadsheets/d/1GbCI"&amp;"E4D4wk9FUozzqk7SxfDMxDVBwVmI5zcaVUSzKAc/edit?usp=sharing"",""ประจวบคีรีขันธ์!N337"")+IMPORTRANGE(""https://docs.google.com/spreadsheets/d/1vVf6wykvW_lAyu7Yo9L4hUTqHqIeP_qcVuxCtosJEbg/edit?usp=sharing"",""ปราจีนบุรี!N337"")+IMPORTRANGE(""https://docs.googl"&amp;"e.com/spreadsheets/d/1BIDqLLg5jk3v59G8NlR8rk5xfQDKne0sAvZHSj7TI6I/edit?usp=sharing"",""พระนครศรีอยุธยา!N337"")+IMPORTRANGE(""https://docs.google.com/spreadsheets/d/1YXvxf8Yu6_rV4hTBrwMqAcAnv6DfhUxh5emyM3CJp_w/edit?usp=sharing"",""เพชรบุรี!N337"")+IMPORTRA"&amp;"NGE(""https://docs.google.com/spreadsheets/d/19KBlQQs7uwvsao6t2n-KvW3Ax8J8uRRfZPq1zPbXgKc/edit?usp=sharing"",""ระยอง!N337"")+IMPORTRANGE(""https://docs.google.com/spreadsheets/d/1jQ6P4QcrGM89YfqcC_PxOHGCMq5ezhucwJd8ci-NHng/edit?usp=sharing"",""ราชบุรี!N33"&amp;"7"")+IMPORTRANGE(""https://docs.google.com/spreadsheets/d/1lufeA2cfFqM-elVq2hznhDzC6Pr7wkJ9ZG_sYNGCMCU/edit?usp=sharing"",""ลพบุรี!N337"")+IMPORTRANGE(""https://docs.google.com/spreadsheets/d/10oOiF7loTyfsTkbd4MpaIm0HQ9SwB7IYHdIUvt-U1Uc/edit?usp=sharing"""&amp;",""สระแก้ว!N337"")+IMPORTRANGE(""https://docs.google.com/spreadsheets/d/1xmPlrr1QbdSIKvl1dWUl9K4PjAfSL9oeMr_37QVzcxc/edit?usp=sharing"",""สระบุรี!N337"")+IMPORTRANGE(""https://docs.google.com/spreadsheets/d/1j51vR6CYVGhABJpv6tkstgok82RLpXieLzW1yOY5rHw/edi"&amp;"t?usp=sharing"",""สิงห์บุรี!N337"")+IMPORTRANGE(""https://docs.google.com/spreadsheets/d/1H1EalTWKUSzO4Z1-1CwzoDUaVffgrThEBe2sl74kKG0/edit?usp=sharing"",""สุพรรณบุรี!N337"")+IMPORTRANGE(""https://docs.google.com/spreadsheets/d/1BmIruG_sIrJLYao_Pdr7zVArWsf"&amp;"oBt2692TMi6x_854/edit?usp=sharing"",""อ่างทอง!N337"")"),0)</f>
        <v>0</v>
      </c>
      <c r="O337" s="59">
        <f t="shared" ca="1" si="145"/>
        <v>0</v>
      </c>
      <c r="P337" s="59">
        <f t="shared" ca="1" si="146"/>
        <v>0</v>
      </c>
    </row>
    <row r="338" spans="1:16" ht="18.75" x14ac:dyDescent="0.25">
      <c r="A338" s="157"/>
      <c r="B338" s="53"/>
      <c r="C338" s="53"/>
      <c r="D338" s="53"/>
      <c r="E338" s="60" t="s">
        <v>35</v>
      </c>
      <c r="F338" s="53"/>
      <c r="G338" s="55"/>
      <c r="H338" s="163" t="s">
        <v>12</v>
      </c>
      <c r="I338" s="164"/>
      <c r="J338" s="164"/>
      <c r="K338" s="165"/>
      <c r="L338" s="59">
        <f ca="1">IFERROR(__xludf.DUMMYFUNCTION("IMPORTRANGE(""https://docs.google.com/spreadsheets/d/13wPX838HrBrQMCywv1BsuMkt4PEKTChp52zj44s2izQ/edit?usp=sharing"",""กาญจนบุรี!L338"")+IMPORTRANGE(""https://docs.google.com/spreadsheets/d/1ddFKvqj1W1NEiWytbGlB1zMx_ykJDVtmfEQ-6-lIUBA/edit?usp=sharing"","&amp;"""จันทบุรี!L338"")+IMPORTRANGE(""https://docs.google.com/spreadsheets/d/1T1PQvRODqOBZk8BRht_U031fIS1beLA0Ub2CEytj2q0/edit?usp=sharing"",""ฉะเชิงเทรา!L338"")+IMPORTRANGE(""https://docs.google.com/spreadsheets/d/11tr1B-Bhyr79v2bkwVh5h_fR-PStkgjlZtkrZpYurG0/"&amp;"edit?usp=sharing"",""ชลบุรี!L338"")+IMPORTRANGE(""https://docs.google.com/spreadsheets/d/1hh-FVnSX0vozXhGluamEcS54Dw9_zqW0N7qJUWgJ0Sw/edit?usp=sharing"",""ชัยนาท!L338"")+IMPORTRANGE(""https://docs.google.com/spreadsheets/d/1jkqa6GXxSacMcY1eN8AHjMNJ_7dDXMJ"&amp;"VRLDlaFSOdPM/edit?usp=sharing"",""ตราด!L338"")+IMPORTRANGE(""https://docs.google.com/spreadsheets/d/18hSgUJ3VwClqi_qtULmmW3cLr0oe3OKaSYoKzdpTsYQ/edit?usp=sharing"",""นครนายก!L338"")+IMPORTRANGE(""https://docs.google.com/spreadsheets/d/1YTZo6WM2dQ6Ix6FSdnL"&amp;"5P7uVnVKu40sxZu975tgG10E/edit?usp=sharing"",""นครปฐม!L338"")+IMPORTRANGE(""https://docs.google.com/spreadsheets/d/1OYoGg4WDg5RIzwGeB10padOxJF9E_Vljuvvct_M7RDo/edit?usp=sharing"",""ปทุมธานี!L338"")+IMPORTRANGE(""https://docs.google.com/spreadsheets/d/1GbCI"&amp;"E4D4wk9FUozzqk7SxfDMxDVBwVmI5zcaVUSzKAc/edit?usp=sharing"",""ประจวบคีรีขันธ์!L338"")+IMPORTRANGE(""https://docs.google.com/spreadsheets/d/1vVf6wykvW_lAyu7Yo9L4hUTqHqIeP_qcVuxCtosJEbg/edit?usp=sharing"",""ปราจีนบุรี!L338"")+IMPORTRANGE(""https://docs.googl"&amp;"e.com/spreadsheets/d/1BIDqLLg5jk3v59G8NlR8rk5xfQDKne0sAvZHSj7TI6I/edit?usp=sharing"",""พระนครศรีอยุธยา!L338"")+IMPORTRANGE(""https://docs.google.com/spreadsheets/d/1YXvxf8Yu6_rV4hTBrwMqAcAnv6DfhUxh5emyM3CJp_w/edit?usp=sharing"",""เพชรบุรี!L338"")+IMPORTRA"&amp;"NGE(""https://docs.google.com/spreadsheets/d/19KBlQQs7uwvsao6t2n-KvW3Ax8J8uRRfZPq1zPbXgKc/edit?usp=sharing"",""ระยอง!L338"")+IMPORTRANGE(""https://docs.google.com/spreadsheets/d/1jQ6P4QcrGM89YfqcC_PxOHGCMq5ezhucwJd8ci-NHng/edit?usp=sharing"",""ราชบุรี!L33"&amp;"8"")+IMPORTRANGE(""https://docs.google.com/spreadsheets/d/1lufeA2cfFqM-elVq2hznhDzC6Pr7wkJ9ZG_sYNGCMCU/edit?usp=sharing"",""ลพบุรี!L338"")+IMPORTRANGE(""https://docs.google.com/spreadsheets/d/10oOiF7loTyfsTkbd4MpaIm0HQ9SwB7IYHdIUvt-U1Uc/edit?usp=sharing"""&amp;",""สระแก้ว!L338"")+IMPORTRANGE(""https://docs.google.com/spreadsheets/d/1xmPlrr1QbdSIKvl1dWUl9K4PjAfSL9oeMr_37QVzcxc/edit?usp=sharing"",""สระบุรี!L338"")+IMPORTRANGE(""https://docs.google.com/spreadsheets/d/1j51vR6CYVGhABJpv6tkstgok82RLpXieLzW1yOY5rHw/edi"&amp;"t?usp=sharing"",""สิงห์บุรี!L338"")+IMPORTRANGE(""https://docs.google.com/spreadsheets/d/1H1EalTWKUSzO4Z1-1CwzoDUaVffgrThEBe2sl74kKG0/edit?usp=sharing"",""สุพรรณบุรี!L338"")+IMPORTRANGE(""https://docs.google.com/spreadsheets/d/1BmIruG_sIrJLYao_Pdr7zVArWsf"&amp;"oBt2692TMi6x_854/edit?usp=sharing"",""อ่างทอง!L338"")"),4015000)</f>
        <v>4015000</v>
      </c>
      <c r="M338" s="59">
        <f ca="1">IFERROR(__xludf.DUMMYFUNCTION("IMPORTRANGE(""https://docs.google.com/spreadsheets/d/13wPX838HrBrQMCywv1BsuMkt4PEKTChp52zj44s2izQ/edit?usp=sharing"",""กาญจนบุรี!M338"")+IMPORTRANGE(""https://docs.google.com/spreadsheets/d/1ddFKvqj1W1NEiWytbGlB1zMx_ykJDVtmfEQ-6-lIUBA/edit?usp=sharing"","&amp;"""จันทบุรี!M338"")+IMPORTRANGE(""https://docs.google.com/spreadsheets/d/1T1PQvRODqOBZk8BRht_U031fIS1beLA0Ub2CEytj2q0/edit?usp=sharing"",""ฉะเชิงเทรา!M338"")+IMPORTRANGE(""https://docs.google.com/spreadsheets/d/11tr1B-Bhyr79v2bkwVh5h_fR-PStkgjlZtkrZpYurG0/"&amp;"edit?usp=sharing"",""ชลบุรี!M338"")+IMPORTRANGE(""https://docs.google.com/spreadsheets/d/1hh-FVnSX0vozXhGluamEcS54Dw9_zqW0N7qJUWgJ0Sw/edit?usp=sharing"",""ชัยนาท!M338"")+IMPORTRANGE(""https://docs.google.com/spreadsheets/d/1jkqa6GXxSacMcY1eN8AHjMNJ_7dDXMJ"&amp;"VRLDlaFSOdPM/edit?usp=sharing"",""ตราด!M338"")+IMPORTRANGE(""https://docs.google.com/spreadsheets/d/18hSgUJ3VwClqi_qtULmmW3cLr0oe3OKaSYoKzdpTsYQ/edit?usp=sharing"",""นครนายก!M338"")+IMPORTRANGE(""https://docs.google.com/spreadsheets/d/1YTZo6WM2dQ6Ix6FSdnL"&amp;"5P7uVnVKu40sxZu975tgG10E/edit?usp=sharing"",""นครปฐม!M338"")+IMPORTRANGE(""https://docs.google.com/spreadsheets/d/1OYoGg4WDg5RIzwGeB10padOxJF9E_Vljuvvct_M7RDo/edit?usp=sharing"",""ปทุมธานี!M338"")+IMPORTRANGE(""https://docs.google.com/spreadsheets/d/1GbCI"&amp;"E4D4wk9FUozzqk7SxfDMxDVBwVmI5zcaVUSzKAc/edit?usp=sharing"",""ประจวบคีรีขันธ์!M338"")+IMPORTRANGE(""https://docs.google.com/spreadsheets/d/1vVf6wykvW_lAyu7Yo9L4hUTqHqIeP_qcVuxCtosJEbg/edit?usp=sharing"",""ปราจีนบุรี!M338"")+IMPORTRANGE(""https://docs.googl"&amp;"e.com/spreadsheets/d/1BIDqLLg5jk3v59G8NlR8rk5xfQDKne0sAvZHSj7TI6I/edit?usp=sharing"",""พระนครศรีอยุธยา!M338"")+IMPORTRANGE(""https://docs.google.com/spreadsheets/d/1YXvxf8Yu6_rV4hTBrwMqAcAnv6DfhUxh5emyM3CJp_w/edit?usp=sharing"",""เพชรบุรี!M338"")+IMPORTRA"&amp;"NGE(""https://docs.google.com/spreadsheets/d/19KBlQQs7uwvsao6t2n-KvW3Ax8J8uRRfZPq1zPbXgKc/edit?usp=sharing"",""ระยอง!M338"")+IMPORTRANGE(""https://docs.google.com/spreadsheets/d/1jQ6P4QcrGM89YfqcC_PxOHGCMq5ezhucwJd8ci-NHng/edit?usp=sharing"",""ราชบุรี!M33"&amp;"8"")+IMPORTRANGE(""https://docs.google.com/spreadsheets/d/1lufeA2cfFqM-elVq2hznhDzC6Pr7wkJ9ZG_sYNGCMCU/edit?usp=sharing"",""ลพบุรี!M338"")+IMPORTRANGE(""https://docs.google.com/spreadsheets/d/10oOiF7loTyfsTkbd4MpaIm0HQ9SwB7IYHdIUvt-U1Uc/edit?usp=sharing"""&amp;",""สระแก้ว!M338"")+IMPORTRANGE(""https://docs.google.com/spreadsheets/d/1xmPlrr1QbdSIKvl1dWUl9K4PjAfSL9oeMr_37QVzcxc/edit?usp=sharing"",""สระบุรี!M338"")+IMPORTRANGE(""https://docs.google.com/spreadsheets/d/1j51vR6CYVGhABJpv6tkstgok82RLpXieLzW1yOY5rHw/edi"&amp;"t?usp=sharing"",""สิงห์บุรี!M338"")+IMPORTRANGE(""https://docs.google.com/spreadsheets/d/1H1EalTWKUSzO4Z1-1CwzoDUaVffgrThEBe2sl74kKG0/edit?usp=sharing"",""สุพรรณบุรี!M338"")+IMPORTRANGE(""https://docs.google.com/spreadsheets/d/1BmIruG_sIrJLYao_Pdr7zVArWsf"&amp;"oBt2692TMi6x_854/edit?usp=sharing"",""อ่างทอง!M338"")"),3026750)</f>
        <v>3026750</v>
      </c>
      <c r="N338" s="59">
        <f ca="1">IFERROR(__xludf.DUMMYFUNCTION("IMPORTRANGE(""https://docs.google.com/spreadsheets/d/13wPX838HrBrQMCywv1BsuMkt4PEKTChp52zj44s2izQ/edit?usp=sharing"",""กาญจนบุรี!N338"")+IMPORTRANGE(""https://docs.google.com/spreadsheets/d/1ddFKvqj1W1NEiWytbGlB1zMx_ykJDVtmfEQ-6-lIUBA/edit?usp=sharing"","&amp;"""จันทบุรี!N338"")+IMPORTRANGE(""https://docs.google.com/spreadsheets/d/1T1PQvRODqOBZk8BRht_U031fIS1beLA0Ub2CEytj2q0/edit?usp=sharing"",""ฉะเชิงเทรา!N338"")+IMPORTRANGE(""https://docs.google.com/spreadsheets/d/11tr1B-Bhyr79v2bkwVh5h_fR-PStkgjlZtkrZpYurG0/"&amp;"edit?usp=sharing"",""ชลบุรี!N338"")+IMPORTRANGE(""https://docs.google.com/spreadsheets/d/1hh-FVnSX0vozXhGluamEcS54Dw9_zqW0N7qJUWgJ0Sw/edit?usp=sharing"",""ชัยนาท!N338"")+IMPORTRANGE(""https://docs.google.com/spreadsheets/d/1jkqa6GXxSacMcY1eN8AHjMNJ_7dDXMJ"&amp;"VRLDlaFSOdPM/edit?usp=sharing"",""ตราด!N338"")+IMPORTRANGE(""https://docs.google.com/spreadsheets/d/18hSgUJ3VwClqi_qtULmmW3cLr0oe3OKaSYoKzdpTsYQ/edit?usp=sharing"",""นครนายก!N338"")+IMPORTRANGE(""https://docs.google.com/spreadsheets/d/1YTZo6WM2dQ6Ix6FSdnL"&amp;"5P7uVnVKu40sxZu975tgG10E/edit?usp=sharing"",""นครปฐม!N338"")+IMPORTRANGE(""https://docs.google.com/spreadsheets/d/1OYoGg4WDg5RIzwGeB10padOxJF9E_Vljuvvct_M7RDo/edit?usp=sharing"",""ปทุมธานี!N338"")+IMPORTRANGE(""https://docs.google.com/spreadsheets/d/1GbCI"&amp;"E4D4wk9FUozzqk7SxfDMxDVBwVmI5zcaVUSzKAc/edit?usp=sharing"",""ประจวบคีรีขันธ์!N338"")+IMPORTRANGE(""https://docs.google.com/spreadsheets/d/1vVf6wykvW_lAyu7Yo9L4hUTqHqIeP_qcVuxCtosJEbg/edit?usp=sharing"",""ปราจีนบุรี!N338"")+IMPORTRANGE(""https://docs.googl"&amp;"e.com/spreadsheets/d/1BIDqLLg5jk3v59G8NlR8rk5xfQDKne0sAvZHSj7TI6I/edit?usp=sharing"",""พระนครศรีอยุธยา!N338"")+IMPORTRANGE(""https://docs.google.com/spreadsheets/d/1YXvxf8Yu6_rV4hTBrwMqAcAnv6DfhUxh5emyM3CJp_w/edit?usp=sharing"",""เพชรบุรี!N338"")+IMPORTRA"&amp;"NGE(""https://docs.google.com/spreadsheets/d/19KBlQQs7uwvsao6t2n-KvW3Ax8J8uRRfZPq1zPbXgKc/edit?usp=sharing"",""ระยอง!N338"")+IMPORTRANGE(""https://docs.google.com/spreadsheets/d/1jQ6P4QcrGM89YfqcC_PxOHGCMq5ezhucwJd8ci-NHng/edit?usp=sharing"",""ราชบุรี!N33"&amp;"8"")+IMPORTRANGE(""https://docs.google.com/spreadsheets/d/1lufeA2cfFqM-elVq2hznhDzC6Pr7wkJ9ZG_sYNGCMCU/edit?usp=sharing"",""ลพบุรี!N338"")+IMPORTRANGE(""https://docs.google.com/spreadsheets/d/10oOiF7loTyfsTkbd4MpaIm0HQ9SwB7IYHdIUvt-U1Uc/edit?usp=sharing"""&amp;",""สระแก้ว!N338"")+IMPORTRANGE(""https://docs.google.com/spreadsheets/d/1xmPlrr1QbdSIKvl1dWUl9K4PjAfSL9oeMr_37QVzcxc/edit?usp=sharing"",""สระบุรี!N338"")+IMPORTRANGE(""https://docs.google.com/spreadsheets/d/1j51vR6CYVGhABJpv6tkstgok82RLpXieLzW1yOY5rHw/edi"&amp;"t?usp=sharing"",""สิงห์บุรี!N338"")+IMPORTRANGE(""https://docs.google.com/spreadsheets/d/1H1EalTWKUSzO4Z1-1CwzoDUaVffgrThEBe2sl74kKG0/edit?usp=sharing"",""สุพรรณบุรี!N338"")+IMPORTRANGE(""https://docs.google.com/spreadsheets/d/1BmIruG_sIrJLYao_Pdr7zVArWsf"&amp;"oBt2692TMi6x_854/edit?usp=sharing"",""อ่างทอง!N338"")"),1025656.96)</f>
        <v>1025656.96</v>
      </c>
      <c r="O338" s="59">
        <f t="shared" ca="1" si="145"/>
        <v>25.545627895392279</v>
      </c>
      <c r="P338" s="59">
        <f t="shared" ca="1" si="146"/>
        <v>33.886411497480793</v>
      </c>
    </row>
    <row r="339" spans="1:16" ht="18.75" x14ac:dyDescent="0.25">
      <c r="A339" s="157"/>
      <c r="B339" s="53"/>
      <c r="C339" s="53"/>
      <c r="D339" s="54" t="s">
        <v>21</v>
      </c>
      <c r="E339" s="53"/>
      <c r="F339" s="53"/>
      <c r="G339" s="55"/>
      <c r="H339" s="166" t="s">
        <v>12</v>
      </c>
      <c r="I339" s="164"/>
      <c r="J339" s="164"/>
      <c r="K339" s="165"/>
      <c r="L339" s="59">
        <f t="shared" ref="L339:N339" ca="1" si="150">L340+L341</f>
        <v>0</v>
      </c>
      <c r="M339" s="59">
        <f t="shared" ca="1" si="150"/>
        <v>0</v>
      </c>
      <c r="N339" s="59">
        <f t="shared" ca="1" si="150"/>
        <v>0</v>
      </c>
      <c r="O339" s="59">
        <f t="shared" ca="1" si="145"/>
        <v>0</v>
      </c>
      <c r="P339" s="59">
        <f t="shared" ca="1" si="146"/>
        <v>0</v>
      </c>
    </row>
    <row r="340" spans="1:16" ht="18.75" x14ac:dyDescent="0.25">
      <c r="A340" s="157"/>
      <c r="B340" s="53"/>
      <c r="C340" s="53"/>
      <c r="D340" s="53"/>
      <c r="E340" s="60" t="s">
        <v>18</v>
      </c>
      <c r="F340" s="53"/>
      <c r="G340" s="55"/>
      <c r="H340" s="163" t="s">
        <v>12</v>
      </c>
      <c r="I340" s="164"/>
      <c r="J340" s="164"/>
      <c r="K340" s="165"/>
      <c r="L340" s="59">
        <f ca="1">IFERROR(__xludf.DUMMYFUNCTION("IMPORTRANGE(""https://docs.google.com/spreadsheets/d/13wPX838HrBrQMCywv1BsuMkt4PEKTChp52zj44s2izQ/edit?usp=sharing"",""กาญจนบุรี!L340"")+IMPORTRANGE(""https://docs.google.com/spreadsheets/d/1ddFKvqj1W1NEiWytbGlB1zMx_ykJDVtmfEQ-6-lIUBA/edit?usp=sharing"","&amp;"""จันทบุรี!L340"")+IMPORTRANGE(""https://docs.google.com/spreadsheets/d/1T1PQvRODqOBZk8BRht_U031fIS1beLA0Ub2CEytj2q0/edit?usp=sharing"",""ฉะเชิงเทรา!L340"")+IMPORTRANGE(""https://docs.google.com/spreadsheets/d/11tr1B-Bhyr79v2bkwVh5h_fR-PStkgjlZtkrZpYurG0/"&amp;"edit?usp=sharing"",""ชลบุรี!L340"")+IMPORTRANGE(""https://docs.google.com/spreadsheets/d/1hh-FVnSX0vozXhGluamEcS54Dw9_zqW0N7qJUWgJ0Sw/edit?usp=sharing"",""ชัยนาท!L340"")+IMPORTRANGE(""https://docs.google.com/spreadsheets/d/1jkqa6GXxSacMcY1eN8AHjMNJ_7dDXMJ"&amp;"VRLDlaFSOdPM/edit?usp=sharing"",""ตราด!L340"")+IMPORTRANGE(""https://docs.google.com/spreadsheets/d/18hSgUJ3VwClqi_qtULmmW3cLr0oe3OKaSYoKzdpTsYQ/edit?usp=sharing"",""นครนายก!L340"")+IMPORTRANGE(""https://docs.google.com/spreadsheets/d/1YTZo6WM2dQ6Ix6FSdnL"&amp;"5P7uVnVKu40sxZu975tgG10E/edit?usp=sharing"",""นครปฐม!L340"")+IMPORTRANGE(""https://docs.google.com/spreadsheets/d/1OYoGg4WDg5RIzwGeB10padOxJF9E_Vljuvvct_M7RDo/edit?usp=sharing"",""ปทุมธานี!L340"")+IMPORTRANGE(""https://docs.google.com/spreadsheets/d/1GbCI"&amp;"E4D4wk9FUozzqk7SxfDMxDVBwVmI5zcaVUSzKAc/edit?usp=sharing"",""ประจวบคีรีขันธ์!L340"")+IMPORTRANGE(""https://docs.google.com/spreadsheets/d/1vVf6wykvW_lAyu7Yo9L4hUTqHqIeP_qcVuxCtosJEbg/edit?usp=sharing"",""ปราจีนบุรี!L340"")+IMPORTRANGE(""https://docs.googl"&amp;"e.com/spreadsheets/d/1BIDqLLg5jk3v59G8NlR8rk5xfQDKne0sAvZHSj7TI6I/edit?usp=sharing"",""พระนครศรีอยุธยา!L340"")+IMPORTRANGE(""https://docs.google.com/spreadsheets/d/1YXvxf8Yu6_rV4hTBrwMqAcAnv6DfhUxh5emyM3CJp_w/edit?usp=sharing"",""เพชรบุรี!L340"")+IMPORTRA"&amp;"NGE(""https://docs.google.com/spreadsheets/d/19KBlQQs7uwvsao6t2n-KvW3Ax8J8uRRfZPq1zPbXgKc/edit?usp=sharing"",""ระยอง!L340"")+IMPORTRANGE(""https://docs.google.com/spreadsheets/d/1jQ6P4QcrGM89YfqcC_PxOHGCMq5ezhucwJd8ci-NHng/edit?usp=sharing"",""ราชบุรี!L34"&amp;"0"")+IMPORTRANGE(""https://docs.google.com/spreadsheets/d/1lufeA2cfFqM-elVq2hznhDzC6Pr7wkJ9ZG_sYNGCMCU/edit?usp=sharing"",""ลพบุรี!L340"")+IMPORTRANGE(""https://docs.google.com/spreadsheets/d/10oOiF7loTyfsTkbd4MpaIm0HQ9SwB7IYHdIUvt-U1Uc/edit?usp=sharing"""&amp;",""สระแก้ว!L340"")+IMPORTRANGE(""https://docs.google.com/spreadsheets/d/1xmPlrr1QbdSIKvl1dWUl9K4PjAfSL9oeMr_37QVzcxc/edit?usp=sharing"",""สระบุรี!L340"")+IMPORTRANGE(""https://docs.google.com/spreadsheets/d/1j51vR6CYVGhABJpv6tkstgok82RLpXieLzW1yOY5rHw/edi"&amp;"t?usp=sharing"",""สิงห์บุรี!L340"")+IMPORTRANGE(""https://docs.google.com/spreadsheets/d/1H1EalTWKUSzO4Z1-1CwzoDUaVffgrThEBe2sl74kKG0/edit?usp=sharing"",""สุพรรณบุรี!L340"")+IMPORTRANGE(""https://docs.google.com/spreadsheets/d/1BmIruG_sIrJLYao_Pdr7zVArWsf"&amp;"oBt2692TMi6x_854/edit?usp=sharing"",""อ่างทอง!L340"")"),0)</f>
        <v>0</v>
      </c>
      <c r="M340" s="59">
        <f ca="1">IFERROR(__xludf.DUMMYFUNCTION("IMPORTRANGE(""https://docs.google.com/spreadsheets/d/13wPX838HrBrQMCywv1BsuMkt4PEKTChp52zj44s2izQ/edit?usp=sharing"",""กาญจนบุรี!M340"")+IMPORTRANGE(""https://docs.google.com/spreadsheets/d/1ddFKvqj1W1NEiWytbGlB1zMx_ykJDVtmfEQ-6-lIUBA/edit?usp=sharing"","&amp;"""จันทบุรี!M340"")+IMPORTRANGE(""https://docs.google.com/spreadsheets/d/1T1PQvRODqOBZk8BRht_U031fIS1beLA0Ub2CEytj2q0/edit?usp=sharing"",""ฉะเชิงเทรา!M340"")+IMPORTRANGE(""https://docs.google.com/spreadsheets/d/11tr1B-Bhyr79v2bkwVh5h_fR-PStkgjlZtkrZpYurG0/"&amp;"edit?usp=sharing"",""ชลบุรี!M340"")+IMPORTRANGE(""https://docs.google.com/spreadsheets/d/1hh-FVnSX0vozXhGluamEcS54Dw9_zqW0N7qJUWgJ0Sw/edit?usp=sharing"",""ชัยนาท!M340"")+IMPORTRANGE(""https://docs.google.com/spreadsheets/d/1jkqa6GXxSacMcY1eN8AHjMNJ_7dDXMJ"&amp;"VRLDlaFSOdPM/edit?usp=sharing"",""ตราด!M340"")+IMPORTRANGE(""https://docs.google.com/spreadsheets/d/18hSgUJ3VwClqi_qtULmmW3cLr0oe3OKaSYoKzdpTsYQ/edit?usp=sharing"",""นครนายก!M340"")+IMPORTRANGE(""https://docs.google.com/spreadsheets/d/1YTZo6WM2dQ6Ix6FSdnL"&amp;"5P7uVnVKu40sxZu975tgG10E/edit?usp=sharing"",""นครปฐม!M340"")+IMPORTRANGE(""https://docs.google.com/spreadsheets/d/1OYoGg4WDg5RIzwGeB10padOxJF9E_Vljuvvct_M7RDo/edit?usp=sharing"",""ปทุมธานี!M340"")+IMPORTRANGE(""https://docs.google.com/spreadsheets/d/1GbCI"&amp;"E4D4wk9FUozzqk7SxfDMxDVBwVmI5zcaVUSzKAc/edit?usp=sharing"",""ประจวบคีรีขันธ์!M340"")+IMPORTRANGE(""https://docs.google.com/spreadsheets/d/1vVf6wykvW_lAyu7Yo9L4hUTqHqIeP_qcVuxCtosJEbg/edit?usp=sharing"",""ปราจีนบุรี!M340"")+IMPORTRANGE(""https://docs.googl"&amp;"e.com/spreadsheets/d/1BIDqLLg5jk3v59G8NlR8rk5xfQDKne0sAvZHSj7TI6I/edit?usp=sharing"",""พระนครศรีอยุธยา!M340"")+IMPORTRANGE(""https://docs.google.com/spreadsheets/d/1YXvxf8Yu6_rV4hTBrwMqAcAnv6DfhUxh5emyM3CJp_w/edit?usp=sharing"",""เพชรบุรี!M340"")+IMPORTRA"&amp;"NGE(""https://docs.google.com/spreadsheets/d/19KBlQQs7uwvsao6t2n-KvW3Ax8J8uRRfZPq1zPbXgKc/edit?usp=sharing"",""ระยอง!M340"")+IMPORTRANGE(""https://docs.google.com/spreadsheets/d/1jQ6P4QcrGM89YfqcC_PxOHGCMq5ezhucwJd8ci-NHng/edit?usp=sharing"",""ราชบุรี!M34"&amp;"0"")+IMPORTRANGE(""https://docs.google.com/spreadsheets/d/1lufeA2cfFqM-elVq2hznhDzC6Pr7wkJ9ZG_sYNGCMCU/edit?usp=sharing"",""ลพบุรี!M340"")+IMPORTRANGE(""https://docs.google.com/spreadsheets/d/10oOiF7loTyfsTkbd4MpaIm0HQ9SwB7IYHdIUvt-U1Uc/edit?usp=sharing"""&amp;",""สระแก้ว!M340"")+IMPORTRANGE(""https://docs.google.com/spreadsheets/d/1xmPlrr1QbdSIKvl1dWUl9K4PjAfSL9oeMr_37QVzcxc/edit?usp=sharing"",""สระบุรี!M340"")+IMPORTRANGE(""https://docs.google.com/spreadsheets/d/1j51vR6CYVGhABJpv6tkstgok82RLpXieLzW1yOY5rHw/edi"&amp;"t?usp=sharing"",""สิงห์บุรี!M340"")+IMPORTRANGE(""https://docs.google.com/spreadsheets/d/1H1EalTWKUSzO4Z1-1CwzoDUaVffgrThEBe2sl74kKG0/edit?usp=sharing"",""สุพรรณบุรี!M340"")+IMPORTRANGE(""https://docs.google.com/spreadsheets/d/1BmIruG_sIrJLYao_Pdr7zVArWsf"&amp;"oBt2692TMi6x_854/edit?usp=sharing"",""อ่างทอง!M340"")"),0)</f>
        <v>0</v>
      </c>
      <c r="N340" s="59">
        <f ca="1">IFERROR(__xludf.DUMMYFUNCTION("IMPORTRANGE(""https://docs.google.com/spreadsheets/d/13wPX838HrBrQMCywv1BsuMkt4PEKTChp52zj44s2izQ/edit?usp=sharing"",""กาญจนบุรี!N340"")+IMPORTRANGE(""https://docs.google.com/spreadsheets/d/1ddFKvqj1W1NEiWytbGlB1zMx_ykJDVtmfEQ-6-lIUBA/edit?usp=sharing"","&amp;"""จันทบุรี!N340"")+IMPORTRANGE(""https://docs.google.com/spreadsheets/d/1T1PQvRODqOBZk8BRht_U031fIS1beLA0Ub2CEytj2q0/edit?usp=sharing"",""ฉะเชิงเทรา!N340"")+IMPORTRANGE(""https://docs.google.com/spreadsheets/d/11tr1B-Bhyr79v2bkwVh5h_fR-PStkgjlZtkrZpYurG0/"&amp;"edit?usp=sharing"",""ชลบุรี!N340"")+IMPORTRANGE(""https://docs.google.com/spreadsheets/d/1hh-FVnSX0vozXhGluamEcS54Dw9_zqW0N7qJUWgJ0Sw/edit?usp=sharing"",""ชัยนาท!N340"")+IMPORTRANGE(""https://docs.google.com/spreadsheets/d/1jkqa6GXxSacMcY1eN8AHjMNJ_7dDXMJ"&amp;"VRLDlaFSOdPM/edit?usp=sharing"",""ตราด!N340"")+IMPORTRANGE(""https://docs.google.com/spreadsheets/d/18hSgUJ3VwClqi_qtULmmW3cLr0oe3OKaSYoKzdpTsYQ/edit?usp=sharing"",""นครนายก!N340"")+IMPORTRANGE(""https://docs.google.com/spreadsheets/d/1YTZo6WM2dQ6Ix6FSdnL"&amp;"5P7uVnVKu40sxZu975tgG10E/edit?usp=sharing"",""นครปฐม!N340"")+IMPORTRANGE(""https://docs.google.com/spreadsheets/d/1OYoGg4WDg5RIzwGeB10padOxJF9E_Vljuvvct_M7RDo/edit?usp=sharing"",""ปทุมธานี!N340"")+IMPORTRANGE(""https://docs.google.com/spreadsheets/d/1GbCI"&amp;"E4D4wk9FUozzqk7SxfDMxDVBwVmI5zcaVUSzKAc/edit?usp=sharing"",""ประจวบคีรีขันธ์!N340"")+IMPORTRANGE(""https://docs.google.com/spreadsheets/d/1vVf6wykvW_lAyu7Yo9L4hUTqHqIeP_qcVuxCtosJEbg/edit?usp=sharing"",""ปราจีนบุรี!N340"")+IMPORTRANGE(""https://docs.googl"&amp;"e.com/spreadsheets/d/1BIDqLLg5jk3v59G8NlR8rk5xfQDKne0sAvZHSj7TI6I/edit?usp=sharing"",""พระนครศรีอยุธยา!N340"")+IMPORTRANGE(""https://docs.google.com/spreadsheets/d/1YXvxf8Yu6_rV4hTBrwMqAcAnv6DfhUxh5emyM3CJp_w/edit?usp=sharing"",""เพชรบุรี!N340"")+IMPORTRA"&amp;"NGE(""https://docs.google.com/spreadsheets/d/19KBlQQs7uwvsao6t2n-KvW3Ax8J8uRRfZPq1zPbXgKc/edit?usp=sharing"",""ระยอง!N340"")+IMPORTRANGE(""https://docs.google.com/spreadsheets/d/1jQ6P4QcrGM89YfqcC_PxOHGCMq5ezhucwJd8ci-NHng/edit?usp=sharing"",""ราชบุรี!N34"&amp;"0"")+IMPORTRANGE(""https://docs.google.com/spreadsheets/d/1lufeA2cfFqM-elVq2hznhDzC6Pr7wkJ9ZG_sYNGCMCU/edit?usp=sharing"",""ลพบุรี!N340"")+IMPORTRANGE(""https://docs.google.com/spreadsheets/d/10oOiF7loTyfsTkbd4MpaIm0HQ9SwB7IYHdIUvt-U1Uc/edit?usp=sharing"""&amp;",""สระแก้ว!N340"")+IMPORTRANGE(""https://docs.google.com/spreadsheets/d/1xmPlrr1QbdSIKvl1dWUl9K4PjAfSL9oeMr_37QVzcxc/edit?usp=sharing"",""สระบุรี!N340"")+IMPORTRANGE(""https://docs.google.com/spreadsheets/d/1j51vR6CYVGhABJpv6tkstgok82RLpXieLzW1yOY5rHw/edi"&amp;"t?usp=sharing"",""สิงห์บุรี!N340"")+IMPORTRANGE(""https://docs.google.com/spreadsheets/d/1H1EalTWKUSzO4Z1-1CwzoDUaVffgrThEBe2sl74kKG0/edit?usp=sharing"",""สุพรรณบุรี!N340"")+IMPORTRANGE(""https://docs.google.com/spreadsheets/d/1BmIruG_sIrJLYao_Pdr7zVArWsf"&amp;"oBt2692TMi6x_854/edit?usp=sharing"",""อ่างทอง!N340"")"),0)</f>
        <v>0</v>
      </c>
      <c r="O340" s="59">
        <f t="shared" ca="1" si="145"/>
        <v>0</v>
      </c>
      <c r="P340" s="59">
        <f t="shared" ca="1" si="146"/>
        <v>0</v>
      </c>
    </row>
    <row r="341" spans="1:16" ht="18.75" x14ac:dyDescent="0.25">
      <c r="A341" s="157"/>
      <c r="B341" s="53"/>
      <c r="C341" s="53"/>
      <c r="D341" s="53"/>
      <c r="E341" s="60" t="s">
        <v>19</v>
      </c>
      <c r="F341" s="53"/>
      <c r="G341" s="55"/>
      <c r="H341" s="166" t="s">
        <v>12</v>
      </c>
      <c r="I341" s="164"/>
      <c r="J341" s="164"/>
      <c r="K341" s="165"/>
      <c r="L341" s="59">
        <f ca="1">IFERROR(__xludf.DUMMYFUNCTION("IMPORTRANGE(""https://docs.google.com/spreadsheets/d/13wPX838HrBrQMCywv1BsuMkt4PEKTChp52zj44s2izQ/edit?usp=sharing"",""กาญจนบุรี!L341"")+IMPORTRANGE(""https://docs.google.com/spreadsheets/d/1ddFKvqj1W1NEiWytbGlB1zMx_ykJDVtmfEQ-6-lIUBA/edit?usp=sharing"","&amp;"""จันทบุรี!L341"")+IMPORTRANGE(""https://docs.google.com/spreadsheets/d/1T1PQvRODqOBZk8BRht_U031fIS1beLA0Ub2CEytj2q0/edit?usp=sharing"",""ฉะเชิงเทรา!L341"")+IMPORTRANGE(""https://docs.google.com/spreadsheets/d/11tr1B-Bhyr79v2bkwVh5h_fR-PStkgjlZtkrZpYurG0/"&amp;"edit?usp=sharing"",""ชลบุรี!L341"")+IMPORTRANGE(""https://docs.google.com/spreadsheets/d/1hh-FVnSX0vozXhGluamEcS54Dw9_zqW0N7qJUWgJ0Sw/edit?usp=sharing"",""ชัยนาท!L341"")+IMPORTRANGE(""https://docs.google.com/spreadsheets/d/1jkqa6GXxSacMcY1eN8AHjMNJ_7dDXMJ"&amp;"VRLDlaFSOdPM/edit?usp=sharing"",""ตราด!L341"")+IMPORTRANGE(""https://docs.google.com/spreadsheets/d/18hSgUJ3VwClqi_qtULmmW3cLr0oe3OKaSYoKzdpTsYQ/edit?usp=sharing"",""นครนายก!L341"")+IMPORTRANGE(""https://docs.google.com/spreadsheets/d/1YTZo6WM2dQ6Ix6FSdnL"&amp;"5P7uVnVKu40sxZu975tgG10E/edit?usp=sharing"",""นครปฐม!L341"")+IMPORTRANGE(""https://docs.google.com/spreadsheets/d/1OYoGg4WDg5RIzwGeB10padOxJF9E_Vljuvvct_M7RDo/edit?usp=sharing"",""ปทุมธานี!L341"")+IMPORTRANGE(""https://docs.google.com/spreadsheets/d/1GbCI"&amp;"E4D4wk9FUozzqk7SxfDMxDVBwVmI5zcaVUSzKAc/edit?usp=sharing"",""ประจวบคีรีขันธ์!L341"")+IMPORTRANGE(""https://docs.google.com/spreadsheets/d/1vVf6wykvW_lAyu7Yo9L4hUTqHqIeP_qcVuxCtosJEbg/edit?usp=sharing"",""ปราจีนบุรี!L341"")+IMPORTRANGE(""https://docs.googl"&amp;"e.com/spreadsheets/d/1BIDqLLg5jk3v59G8NlR8rk5xfQDKne0sAvZHSj7TI6I/edit?usp=sharing"",""พระนครศรีอยุธยา!L341"")+IMPORTRANGE(""https://docs.google.com/spreadsheets/d/1YXvxf8Yu6_rV4hTBrwMqAcAnv6DfhUxh5emyM3CJp_w/edit?usp=sharing"",""เพชรบุรี!L341"")+IMPORTRA"&amp;"NGE(""https://docs.google.com/spreadsheets/d/19KBlQQs7uwvsao6t2n-KvW3Ax8J8uRRfZPq1zPbXgKc/edit?usp=sharing"",""ระยอง!L341"")+IMPORTRANGE(""https://docs.google.com/spreadsheets/d/1jQ6P4QcrGM89YfqcC_PxOHGCMq5ezhucwJd8ci-NHng/edit?usp=sharing"",""ราชบุรี!L34"&amp;"1"")+IMPORTRANGE(""https://docs.google.com/spreadsheets/d/1lufeA2cfFqM-elVq2hznhDzC6Pr7wkJ9ZG_sYNGCMCU/edit?usp=sharing"",""ลพบุรี!L341"")+IMPORTRANGE(""https://docs.google.com/spreadsheets/d/10oOiF7loTyfsTkbd4MpaIm0HQ9SwB7IYHdIUvt-U1Uc/edit?usp=sharing"""&amp;",""สระแก้ว!L341"")+IMPORTRANGE(""https://docs.google.com/spreadsheets/d/1xmPlrr1QbdSIKvl1dWUl9K4PjAfSL9oeMr_37QVzcxc/edit?usp=sharing"",""สระบุรี!L341"")+IMPORTRANGE(""https://docs.google.com/spreadsheets/d/1j51vR6CYVGhABJpv6tkstgok82RLpXieLzW1yOY5rHw/edi"&amp;"t?usp=sharing"",""สิงห์บุรี!L341"")+IMPORTRANGE(""https://docs.google.com/spreadsheets/d/1H1EalTWKUSzO4Z1-1CwzoDUaVffgrThEBe2sl74kKG0/edit?usp=sharing"",""สุพรรณบุรี!L341"")+IMPORTRANGE(""https://docs.google.com/spreadsheets/d/1BmIruG_sIrJLYao_Pdr7zVArWsf"&amp;"oBt2692TMi6x_854/edit?usp=sharing"",""อ่างทอง!L341"")"),0)</f>
        <v>0</v>
      </c>
      <c r="M341" s="59">
        <f ca="1">IFERROR(__xludf.DUMMYFUNCTION("IMPORTRANGE(""https://docs.google.com/spreadsheets/d/13wPX838HrBrQMCywv1BsuMkt4PEKTChp52zj44s2izQ/edit?usp=sharing"",""กาญจนบุรี!M341"")+IMPORTRANGE(""https://docs.google.com/spreadsheets/d/1ddFKvqj1W1NEiWytbGlB1zMx_ykJDVtmfEQ-6-lIUBA/edit?usp=sharing"","&amp;"""จันทบุรี!M341"")+IMPORTRANGE(""https://docs.google.com/spreadsheets/d/1T1PQvRODqOBZk8BRht_U031fIS1beLA0Ub2CEytj2q0/edit?usp=sharing"",""ฉะเชิงเทรา!M341"")+IMPORTRANGE(""https://docs.google.com/spreadsheets/d/11tr1B-Bhyr79v2bkwVh5h_fR-PStkgjlZtkrZpYurG0/"&amp;"edit?usp=sharing"",""ชลบุรี!M341"")+IMPORTRANGE(""https://docs.google.com/spreadsheets/d/1hh-FVnSX0vozXhGluamEcS54Dw9_zqW0N7qJUWgJ0Sw/edit?usp=sharing"",""ชัยนาท!M341"")+IMPORTRANGE(""https://docs.google.com/spreadsheets/d/1jkqa6GXxSacMcY1eN8AHjMNJ_7dDXMJ"&amp;"VRLDlaFSOdPM/edit?usp=sharing"",""ตราด!M341"")+IMPORTRANGE(""https://docs.google.com/spreadsheets/d/18hSgUJ3VwClqi_qtULmmW3cLr0oe3OKaSYoKzdpTsYQ/edit?usp=sharing"",""นครนายก!M341"")+IMPORTRANGE(""https://docs.google.com/spreadsheets/d/1YTZo6WM2dQ6Ix6FSdnL"&amp;"5P7uVnVKu40sxZu975tgG10E/edit?usp=sharing"",""นครปฐม!M341"")+IMPORTRANGE(""https://docs.google.com/spreadsheets/d/1OYoGg4WDg5RIzwGeB10padOxJF9E_Vljuvvct_M7RDo/edit?usp=sharing"",""ปทุมธานี!M341"")+IMPORTRANGE(""https://docs.google.com/spreadsheets/d/1GbCI"&amp;"E4D4wk9FUozzqk7SxfDMxDVBwVmI5zcaVUSzKAc/edit?usp=sharing"",""ประจวบคีรีขันธ์!M341"")+IMPORTRANGE(""https://docs.google.com/spreadsheets/d/1vVf6wykvW_lAyu7Yo9L4hUTqHqIeP_qcVuxCtosJEbg/edit?usp=sharing"",""ปราจีนบุรี!M341"")+IMPORTRANGE(""https://docs.googl"&amp;"e.com/spreadsheets/d/1BIDqLLg5jk3v59G8NlR8rk5xfQDKne0sAvZHSj7TI6I/edit?usp=sharing"",""พระนครศรีอยุธยา!M341"")+IMPORTRANGE(""https://docs.google.com/spreadsheets/d/1YXvxf8Yu6_rV4hTBrwMqAcAnv6DfhUxh5emyM3CJp_w/edit?usp=sharing"",""เพชรบุรี!M341"")+IMPORTRA"&amp;"NGE(""https://docs.google.com/spreadsheets/d/19KBlQQs7uwvsao6t2n-KvW3Ax8J8uRRfZPq1zPbXgKc/edit?usp=sharing"",""ระยอง!M341"")+IMPORTRANGE(""https://docs.google.com/spreadsheets/d/1jQ6P4QcrGM89YfqcC_PxOHGCMq5ezhucwJd8ci-NHng/edit?usp=sharing"",""ราชบุรี!M34"&amp;"1"")+IMPORTRANGE(""https://docs.google.com/spreadsheets/d/1lufeA2cfFqM-elVq2hznhDzC6Pr7wkJ9ZG_sYNGCMCU/edit?usp=sharing"",""ลพบุรี!M341"")+IMPORTRANGE(""https://docs.google.com/spreadsheets/d/10oOiF7loTyfsTkbd4MpaIm0HQ9SwB7IYHdIUvt-U1Uc/edit?usp=sharing"""&amp;",""สระแก้ว!M341"")+IMPORTRANGE(""https://docs.google.com/spreadsheets/d/1xmPlrr1QbdSIKvl1dWUl9K4PjAfSL9oeMr_37QVzcxc/edit?usp=sharing"",""สระบุรี!M341"")+IMPORTRANGE(""https://docs.google.com/spreadsheets/d/1j51vR6CYVGhABJpv6tkstgok82RLpXieLzW1yOY5rHw/edi"&amp;"t?usp=sharing"",""สิงห์บุรี!M341"")+IMPORTRANGE(""https://docs.google.com/spreadsheets/d/1H1EalTWKUSzO4Z1-1CwzoDUaVffgrThEBe2sl74kKG0/edit?usp=sharing"",""สุพรรณบุรี!M341"")+IMPORTRANGE(""https://docs.google.com/spreadsheets/d/1BmIruG_sIrJLYao_Pdr7zVArWsf"&amp;"oBt2692TMi6x_854/edit?usp=sharing"",""อ่างทอง!M341"")"),0)</f>
        <v>0</v>
      </c>
      <c r="N341" s="59">
        <f ca="1">IFERROR(__xludf.DUMMYFUNCTION("IMPORTRANGE(""https://docs.google.com/spreadsheets/d/13wPX838HrBrQMCywv1BsuMkt4PEKTChp52zj44s2izQ/edit?usp=sharing"",""กาญจนบุรี!N341"")+IMPORTRANGE(""https://docs.google.com/spreadsheets/d/1ddFKvqj1W1NEiWytbGlB1zMx_ykJDVtmfEQ-6-lIUBA/edit?usp=sharing"","&amp;"""จันทบุรี!N341"")+IMPORTRANGE(""https://docs.google.com/spreadsheets/d/1T1PQvRODqOBZk8BRht_U031fIS1beLA0Ub2CEytj2q0/edit?usp=sharing"",""ฉะเชิงเทรา!N341"")+IMPORTRANGE(""https://docs.google.com/spreadsheets/d/11tr1B-Bhyr79v2bkwVh5h_fR-PStkgjlZtkrZpYurG0/"&amp;"edit?usp=sharing"",""ชลบุรี!N341"")+IMPORTRANGE(""https://docs.google.com/spreadsheets/d/1hh-FVnSX0vozXhGluamEcS54Dw9_zqW0N7qJUWgJ0Sw/edit?usp=sharing"",""ชัยนาท!N341"")+IMPORTRANGE(""https://docs.google.com/spreadsheets/d/1jkqa6GXxSacMcY1eN8AHjMNJ_7dDXMJ"&amp;"VRLDlaFSOdPM/edit?usp=sharing"",""ตราด!N341"")+IMPORTRANGE(""https://docs.google.com/spreadsheets/d/18hSgUJ3VwClqi_qtULmmW3cLr0oe3OKaSYoKzdpTsYQ/edit?usp=sharing"",""นครนายก!N341"")+IMPORTRANGE(""https://docs.google.com/spreadsheets/d/1YTZo6WM2dQ6Ix6FSdnL"&amp;"5P7uVnVKu40sxZu975tgG10E/edit?usp=sharing"",""นครปฐม!N341"")+IMPORTRANGE(""https://docs.google.com/spreadsheets/d/1OYoGg4WDg5RIzwGeB10padOxJF9E_Vljuvvct_M7RDo/edit?usp=sharing"",""ปทุมธานี!N341"")+IMPORTRANGE(""https://docs.google.com/spreadsheets/d/1GbCI"&amp;"E4D4wk9FUozzqk7SxfDMxDVBwVmI5zcaVUSzKAc/edit?usp=sharing"",""ประจวบคีรีขันธ์!N341"")+IMPORTRANGE(""https://docs.google.com/spreadsheets/d/1vVf6wykvW_lAyu7Yo9L4hUTqHqIeP_qcVuxCtosJEbg/edit?usp=sharing"",""ปราจีนบุรี!N341"")+IMPORTRANGE(""https://docs.googl"&amp;"e.com/spreadsheets/d/1BIDqLLg5jk3v59G8NlR8rk5xfQDKne0sAvZHSj7TI6I/edit?usp=sharing"",""พระนครศรีอยุธยา!N341"")+IMPORTRANGE(""https://docs.google.com/spreadsheets/d/1YXvxf8Yu6_rV4hTBrwMqAcAnv6DfhUxh5emyM3CJp_w/edit?usp=sharing"",""เพชรบุรี!N341"")+IMPORTRA"&amp;"NGE(""https://docs.google.com/spreadsheets/d/19KBlQQs7uwvsao6t2n-KvW3Ax8J8uRRfZPq1zPbXgKc/edit?usp=sharing"",""ระยอง!N341"")+IMPORTRANGE(""https://docs.google.com/spreadsheets/d/1jQ6P4QcrGM89YfqcC_PxOHGCMq5ezhucwJd8ci-NHng/edit?usp=sharing"",""ราชบุรี!N34"&amp;"1"")+IMPORTRANGE(""https://docs.google.com/spreadsheets/d/1lufeA2cfFqM-elVq2hznhDzC6Pr7wkJ9ZG_sYNGCMCU/edit?usp=sharing"",""ลพบุรี!N341"")+IMPORTRANGE(""https://docs.google.com/spreadsheets/d/10oOiF7loTyfsTkbd4MpaIm0HQ9SwB7IYHdIUvt-U1Uc/edit?usp=sharing"""&amp;",""สระแก้ว!N341"")+IMPORTRANGE(""https://docs.google.com/spreadsheets/d/1xmPlrr1QbdSIKvl1dWUl9K4PjAfSL9oeMr_37QVzcxc/edit?usp=sharing"",""สระบุรี!N341"")+IMPORTRANGE(""https://docs.google.com/spreadsheets/d/1j51vR6CYVGhABJpv6tkstgok82RLpXieLzW1yOY5rHw/edi"&amp;"t?usp=sharing"",""สิงห์บุรี!N341"")+IMPORTRANGE(""https://docs.google.com/spreadsheets/d/1H1EalTWKUSzO4Z1-1CwzoDUaVffgrThEBe2sl74kKG0/edit?usp=sharing"",""สุพรรณบุรี!N341"")+IMPORTRANGE(""https://docs.google.com/spreadsheets/d/1BmIruG_sIrJLYao_Pdr7zVArWsf"&amp;"oBt2692TMi6x_854/edit?usp=sharing"",""อ่างทอง!N341"")"),0)</f>
        <v>0</v>
      </c>
      <c r="O341" s="59">
        <f t="shared" ca="1" si="145"/>
        <v>0</v>
      </c>
      <c r="P341" s="59">
        <f t="shared" ca="1" si="146"/>
        <v>0</v>
      </c>
    </row>
    <row r="342" spans="1:16" ht="19.5" x14ac:dyDescent="0.3">
      <c r="A342" s="167"/>
      <c r="B342" s="168"/>
      <c r="C342" s="158" t="s">
        <v>16</v>
      </c>
      <c r="D342" s="406" t="s">
        <v>36</v>
      </c>
      <c r="E342" s="170"/>
      <c r="F342" s="170"/>
      <c r="G342" s="170"/>
      <c r="H342" s="407"/>
      <c r="I342" s="408"/>
      <c r="J342" s="408"/>
      <c r="K342" s="409"/>
      <c r="L342" s="58"/>
      <c r="M342" s="58"/>
      <c r="N342" s="58"/>
      <c r="O342" s="165"/>
      <c r="P342" s="165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13510</v>
      </c>
      <c r="K343" s="417">
        <v>0</v>
      </c>
      <c r="L343" s="418"/>
      <c r="M343" s="418"/>
      <c r="N343" s="418"/>
      <c r="O343" s="418"/>
      <c r="P343" s="418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13wPX838HrBrQMCywv1BsuMkt4PEKTChp52zj44s2izQ/edit?usp=sharing"",""กาญจนบุรี!I344"")+IMPORTRANGE(""https://docs.google.com/spreadsheets/d/1ddFKvqj1W1NEiWytbGlB1zMx_ykJDVtmfEQ-6-lIUBA/edit?usp=sharing"","&amp;"""จันทบุรี!I344"")+IMPORTRANGE(""https://docs.google.com/spreadsheets/d/1T1PQvRODqOBZk8BRht_U031fIS1beLA0Ub2CEytj2q0/edit?usp=sharing"",""ฉะเชิงเทรา!I344"")+IMPORTRANGE(""https://docs.google.com/spreadsheets/d/11tr1B-Bhyr79v2bkwVh5h_fR-PStkgjlZtkrZpYurG0/"&amp;"edit?usp=sharing"",""ชลบุรี!I344"")+IMPORTRANGE(""https://docs.google.com/spreadsheets/d/1hh-FVnSX0vozXhGluamEcS54Dw9_zqW0N7qJUWgJ0Sw/edit?usp=sharing"",""ชัยนาท!I344"")+IMPORTRANGE(""https://docs.google.com/spreadsheets/d/1jkqa6GXxSacMcY1eN8AHjMNJ_7dDXMJ"&amp;"VRLDlaFSOdPM/edit?usp=sharing"",""ตราด!I344"")+IMPORTRANGE(""https://docs.google.com/spreadsheets/d/18hSgUJ3VwClqi_qtULmmW3cLr0oe3OKaSYoKzdpTsYQ/edit?usp=sharing"",""นครนายก!I344"")+IMPORTRANGE(""https://docs.google.com/spreadsheets/d/1YTZo6WM2dQ6Ix6FSdnL"&amp;"5P7uVnVKu40sxZu975tgG10E/edit?usp=sharing"",""นครปฐม!I344"")+IMPORTRANGE(""https://docs.google.com/spreadsheets/d/1OYoGg4WDg5RIzwGeB10padOxJF9E_Vljuvvct_M7RDo/edit?usp=sharing"",""ปทุมธานี!I344"")+IMPORTRANGE(""https://docs.google.com/spreadsheets/d/1GbCI"&amp;"E4D4wk9FUozzqk7SxfDMxDVBwVmI5zcaVUSzKAc/edit?usp=sharing"",""ประจวบคีรีขันธ์!I344"")+IMPORTRANGE(""https://docs.google.com/spreadsheets/d/1vVf6wykvW_lAyu7Yo9L4hUTqHqIeP_qcVuxCtosJEbg/edit?usp=sharing"",""ปราจีนบุรี!I344"")+IMPORTRANGE(""https://docs.googl"&amp;"e.com/spreadsheets/d/1BIDqLLg5jk3v59G8NlR8rk5xfQDKne0sAvZHSj7TI6I/edit?usp=sharing"",""พระนครศรีอยุธยา!I344"")+IMPORTRANGE(""https://docs.google.com/spreadsheets/d/1YXvxf8Yu6_rV4hTBrwMqAcAnv6DfhUxh5emyM3CJp_w/edit?usp=sharing"",""เพชรบุรี!I344"")+IMPORTRA"&amp;"NGE(""https://docs.google.com/spreadsheets/d/19KBlQQs7uwvsao6t2n-KvW3Ax8J8uRRfZPq1zPbXgKc/edit?usp=sharing"",""ระยอง!I344"")+IMPORTRANGE(""https://docs.google.com/spreadsheets/d/1jQ6P4QcrGM89YfqcC_PxOHGCMq5ezhucwJd8ci-NHng/edit?usp=sharing"",""ราชบุรี!I34"&amp;"4"")+IMPORTRANGE(""https://docs.google.com/spreadsheets/d/1lufeA2cfFqM-elVq2hznhDzC6Pr7wkJ9ZG_sYNGCMCU/edit?usp=sharing"",""ลพบุรี!I344"")+IMPORTRANGE(""https://docs.google.com/spreadsheets/d/10oOiF7loTyfsTkbd4MpaIm0HQ9SwB7IYHdIUvt-U1Uc/edit?usp=sharing"""&amp;",""สระแก้ว!I344"")+IMPORTRANGE(""https://docs.google.com/spreadsheets/d/1xmPlrr1QbdSIKvl1dWUl9K4PjAfSL9oeMr_37QVzcxc/edit?usp=sharing"",""สระบุรี!I344"")+IMPORTRANGE(""https://docs.google.com/spreadsheets/d/1j51vR6CYVGhABJpv6tkstgok82RLpXieLzW1yOY5rHw/edi"&amp;"t?usp=sharing"",""สิงห์บุรี!I344"")+IMPORTRANGE(""https://docs.google.com/spreadsheets/d/1H1EalTWKUSzO4Z1-1CwzoDUaVffgrThEBe2sl74kKG0/edit?usp=sharing"",""สุพรรณบุรี!I344"")+IMPORTRANGE(""https://docs.google.com/spreadsheets/d/1BmIruG_sIrJLYao_Pdr7zVArWsf"&amp;"oBt2692TMi6x_854/edit?usp=sharing"",""อ่างทอง!I344"")"),19420)</f>
        <v>19420</v>
      </c>
      <c r="J344" s="426">
        <f ca="1">IFERROR(__xludf.DUMMYFUNCTION("IMPORTRANGE(""https://docs.google.com/spreadsheets/d/13wPX838HrBrQMCywv1BsuMkt4PEKTChp52zj44s2izQ/edit?usp=sharing"",""กาญจนบุรี!J344"")+IMPORTRANGE(""https://docs.google.com/spreadsheets/d/1ddFKvqj1W1NEiWytbGlB1zMx_ykJDVtmfEQ-6-lIUBA/edit?usp=sharing"","&amp;"""จันทบุรี!J344"")+IMPORTRANGE(""https://docs.google.com/spreadsheets/d/1T1PQvRODqOBZk8BRht_U031fIS1beLA0Ub2CEytj2q0/edit?usp=sharing"",""ฉะเชิงเทรา!J344"")+IMPORTRANGE(""https://docs.google.com/spreadsheets/d/11tr1B-Bhyr79v2bkwVh5h_fR-PStkgjlZtkrZpYurG0/"&amp;"edit?usp=sharing"",""ชลบุรี!J344"")+IMPORTRANGE(""https://docs.google.com/spreadsheets/d/1hh-FVnSX0vozXhGluamEcS54Dw9_zqW0N7qJUWgJ0Sw/edit?usp=sharing"",""ชัยนาท!J344"")+IMPORTRANGE(""https://docs.google.com/spreadsheets/d/1jkqa6GXxSacMcY1eN8AHjMNJ_7dDXMJ"&amp;"VRLDlaFSOdPM/edit?usp=sharing"",""ตราด!J344"")+IMPORTRANGE(""https://docs.google.com/spreadsheets/d/18hSgUJ3VwClqi_qtULmmW3cLr0oe3OKaSYoKzdpTsYQ/edit?usp=sharing"",""นครนายก!J344"")+IMPORTRANGE(""https://docs.google.com/spreadsheets/d/1YTZo6WM2dQ6Ix6FSdnL"&amp;"5P7uVnVKu40sxZu975tgG10E/edit?usp=sharing"",""นครปฐม!J344"")+IMPORTRANGE(""https://docs.google.com/spreadsheets/d/1OYoGg4WDg5RIzwGeB10padOxJF9E_Vljuvvct_M7RDo/edit?usp=sharing"",""ปทุมธานี!J344"")+IMPORTRANGE(""https://docs.google.com/spreadsheets/d/1GbCI"&amp;"E4D4wk9FUozzqk7SxfDMxDVBwVmI5zcaVUSzKAc/edit?usp=sharing"",""ประจวบคีรีขันธ์!J344"")+IMPORTRANGE(""https://docs.google.com/spreadsheets/d/1vVf6wykvW_lAyu7Yo9L4hUTqHqIeP_qcVuxCtosJEbg/edit?usp=sharing"",""ปราจีนบุรี!J344"")+IMPORTRANGE(""https://docs.googl"&amp;"e.com/spreadsheets/d/1BIDqLLg5jk3v59G8NlR8rk5xfQDKne0sAvZHSj7TI6I/edit?usp=sharing"",""พระนครศรีอยุธยา!J344"")+IMPORTRANGE(""https://docs.google.com/spreadsheets/d/1YXvxf8Yu6_rV4hTBrwMqAcAnv6DfhUxh5emyM3CJp_w/edit?usp=sharing"",""เพชรบุรี!J344"")+IMPORTRA"&amp;"NGE(""https://docs.google.com/spreadsheets/d/19KBlQQs7uwvsao6t2n-KvW3Ax8J8uRRfZPq1zPbXgKc/edit?usp=sharing"",""ระยอง!J344"")+IMPORTRANGE(""https://docs.google.com/spreadsheets/d/1jQ6P4QcrGM89YfqcC_PxOHGCMq5ezhucwJd8ci-NHng/edit?usp=sharing"",""ราชบุรี!J34"&amp;"4"")+IMPORTRANGE(""https://docs.google.com/spreadsheets/d/1lufeA2cfFqM-elVq2hznhDzC6Pr7wkJ9ZG_sYNGCMCU/edit?usp=sharing"",""ลพบุรี!J344"")+IMPORTRANGE(""https://docs.google.com/spreadsheets/d/10oOiF7loTyfsTkbd4MpaIm0HQ9SwB7IYHdIUvt-U1Uc/edit?usp=sharing"""&amp;",""สระแก้ว!J344"")+IMPORTRANGE(""https://docs.google.com/spreadsheets/d/1xmPlrr1QbdSIKvl1dWUl9K4PjAfSL9oeMr_37QVzcxc/edit?usp=sharing"",""สระบุรี!J344"")+IMPORTRANGE(""https://docs.google.com/spreadsheets/d/1j51vR6CYVGhABJpv6tkstgok82RLpXieLzW1yOY5rHw/edi"&amp;"t?usp=sharing"",""สิงห์บุรี!J344"")+IMPORTRANGE(""https://docs.google.com/spreadsheets/d/1H1EalTWKUSzO4Z1-1CwzoDUaVffgrThEBe2sl74kKG0/edit?usp=sharing"",""สุพรรณบุรี!J344"")+IMPORTRANGE(""https://docs.google.com/spreadsheets/d/1BmIruG_sIrJLYao_Pdr7zVArWsf"&amp;"oBt2692TMi6x_854/edit?usp=sharing"",""อ่างทอง!J344"")"),11657)</f>
        <v>11657</v>
      </c>
      <c r="K344" s="427">
        <f ca="1">IF(I344&gt;0,J344*100/I344,0)</f>
        <v>60.025746652935119</v>
      </c>
      <c r="L344" s="58"/>
      <c r="M344" s="58"/>
      <c r="N344" s="58"/>
      <c r="O344" s="58"/>
      <c r="P344" s="58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58"/>
      <c r="M345" s="58"/>
      <c r="N345" s="58"/>
      <c r="O345" s="58"/>
      <c r="P345" s="58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13wPX838HrBrQMCywv1BsuMkt4PEKTChp52zj44s2izQ/edit?usp=sharing"",""กาญจนบุรี!I346"")+IMPORTRANGE(""https://docs.google.com/spreadsheets/d/1ddFKvqj1W1NEiWytbGlB1zMx_ykJDVtmfEQ-6-lIUBA/edit?usp=sharing"","&amp;"""จันทบุรี!I346"")+IMPORTRANGE(""https://docs.google.com/spreadsheets/d/1T1PQvRODqOBZk8BRht_U031fIS1beLA0Ub2CEytj2q0/edit?usp=sharing"",""ฉะเชิงเทรา!I346"")+IMPORTRANGE(""https://docs.google.com/spreadsheets/d/11tr1B-Bhyr79v2bkwVh5h_fR-PStkgjlZtkrZpYurG0/"&amp;"edit?usp=sharing"",""ชลบุรี!I346"")+IMPORTRANGE(""https://docs.google.com/spreadsheets/d/1hh-FVnSX0vozXhGluamEcS54Dw9_zqW0N7qJUWgJ0Sw/edit?usp=sharing"",""ชัยนาท!I346"")+IMPORTRANGE(""https://docs.google.com/spreadsheets/d/1jkqa6GXxSacMcY1eN8AHjMNJ_7dDXMJ"&amp;"VRLDlaFSOdPM/edit?usp=sharing"",""ตราด!I346"")+IMPORTRANGE(""https://docs.google.com/spreadsheets/d/18hSgUJ3VwClqi_qtULmmW3cLr0oe3OKaSYoKzdpTsYQ/edit?usp=sharing"",""นครนายก!I346"")+IMPORTRANGE(""https://docs.google.com/spreadsheets/d/1YTZo6WM2dQ6Ix6FSdnL"&amp;"5P7uVnVKu40sxZu975tgG10E/edit?usp=sharing"",""นครปฐม!I346"")+IMPORTRANGE(""https://docs.google.com/spreadsheets/d/1OYoGg4WDg5RIzwGeB10padOxJF9E_Vljuvvct_M7RDo/edit?usp=sharing"",""ปทุมธานี!I346"")+IMPORTRANGE(""https://docs.google.com/spreadsheets/d/1GbCI"&amp;"E4D4wk9FUozzqk7SxfDMxDVBwVmI5zcaVUSzKAc/edit?usp=sharing"",""ประจวบคีรีขันธ์!I346"")+IMPORTRANGE(""https://docs.google.com/spreadsheets/d/1vVf6wykvW_lAyu7Yo9L4hUTqHqIeP_qcVuxCtosJEbg/edit?usp=sharing"",""ปราจีนบุรี!I346"")+IMPORTRANGE(""https://docs.googl"&amp;"e.com/spreadsheets/d/1BIDqLLg5jk3v59G8NlR8rk5xfQDKne0sAvZHSj7TI6I/edit?usp=sharing"",""พระนครศรีอยุธยา!I346"")+IMPORTRANGE(""https://docs.google.com/spreadsheets/d/1YXvxf8Yu6_rV4hTBrwMqAcAnv6DfhUxh5emyM3CJp_w/edit?usp=sharing"",""เพชรบุรี!I346"")+IMPORTRA"&amp;"NGE(""https://docs.google.com/spreadsheets/d/19KBlQQs7uwvsao6t2n-KvW3Ax8J8uRRfZPq1zPbXgKc/edit?usp=sharing"",""ระยอง!I346"")+IMPORTRANGE(""https://docs.google.com/spreadsheets/d/1jQ6P4QcrGM89YfqcC_PxOHGCMq5ezhucwJd8ci-NHng/edit?usp=sharing"",""ราชบุรี!I34"&amp;"6"")+IMPORTRANGE(""https://docs.google.com/spreadsheets/d/1lufeA2cfFqM-elVq2hznhDzC6Pr7wkJ9ZG_sYNGCMCU/edit?usp=sharing"",""ลพบุรี!I346"")+IMPORTRANGE(""https://docs.google.com/spreadsheets/d/10oOiF7loTyfsTkbd4MpaIm0HQ9SwB7IYHdIUvt-U1Uc/edit?usp=sharing"""&amp;",""สระแก้ว!I346"")+IMPORTRANGE(""https://docs.google.com/spreadsheets/d/1xmPlrr1QbdSIKvl1dWUl9K4PjAfSL9oeMr_37QVzcxc/edit?usp=sharing"",""สระบุรี!I346"")+IMPORTRANGE(""https://docs.google.com/spreadsheets/d/1j51vR6CYVGhABJpv6tkstgok82RLpXieLzW1yOY5rHw/edi"&amp;"t?usp=sharing"",""สิงห์บุรี!I346"")+IMPORTRANGE(""https://docs.google.com/spreadsheets/d/1H1EalTWKUSzO4Z1-1CwzoDUaVffgrThEBe2sl74kKG0/edit?usp=sharing"",""สุพรรณบุรี!I346"")+IMPORTRANGE(""https://docs.google.com/spreadsheets/d/1BmIruG_sIrJLYao_Pdr7zVArWsf"&amp;"oBt2692TMi6x_854/edit?usp=sharing"",""อ่างทอง!I346"")"),52)</f>
        <v>52</v>
      </c>
      <c r="J346" s="426">
        <f ca="1">IFERROR(__xludf.DUMMYFUNCTION("IMPORTRANGE(""https://docs.google.com/spreadsheets/d/13wPX838HrBrQMCywv1BsuMkt4PEKTChp52zj44s2izQ/edit?usp=sharing"",""กาญจนบุรี!J346"")+IMPORTRANGE(""https://docs.google.com/spreadsheets/d/1ddFKvqj1W1NEiWytbGlB1zMx_ykJDVtmfEQ-6-lIUBA/edit?usp=sharing"","&amp;"""จันทบุรี!J346"")+IMPORTRANGE(""https://docs.google.com/spreadsheets/d/1T1PQvRODqOBZk8BRht_U031fIS1beLA0Ub2CEytj2q0/edit?usp=sharing"",""ฉะเชิงเทรา!J346"")+IMPORTRANGE(""https://docs.google.com/spreadsheets/d/11tr1B-Bhyr79v2bkwVh5h_fR-PStkgjlZtkrZpYurG0/"&amp;"edit?usp=sharing"",""ชลบุรี!J346"")+IMPORTRANGE(""https://docs.google.com/spreadsheets/d/1hh-FVnSX0vozXhGluamEcS54Dw9_zqW0N7qJUWgJ0Sw/edit?usp=sharing"",""ชัยนาท!J346"")+IMPORTRANGE(""https://docs.google.com/spreadsheets/d/1jkqa6GXxSacMcY1eN8AHjMNJ_7dDXMJ"&amp;"VRLDlaFSOdPM/edit?usp=sharing"",""ตราด!J346"")+IMPORTRANGE(""https://docs.google.com/spreadsheets/d/18hSgUJ3VwClqi_qtULmmW3cLr0oe3OKaSYoKzdpTsYQ/edit?usp=sharing"",""นครนายก!J346"")+IMPORTRANGE(""https://docs.google.com/spreadsheets/d/1YTZo6WM2dQ6Ix6FSdnL"&amp;"5P7uVnVKu40sxZu975tgG10E/edit?usp=sharing"",""นครปฐม!J346"")+IMPORTRANGE(""https://docs.google.com/spreadsheets/d/1OYoGg4WDg5RIzwGeB10padOxJF9E_Vljuvvct_M7RDo/edit?usp=sharing"",""ปทุมธานี!J346"")+IMPORTRANGE(""https://docs.google.com/spreadsheets/d/1GbCI"&amp;"E4D4wk9FUozzqk7SxfDMxDVBwVmI5zcaVUSzKAc/edit?usp=sharing"",""ประจวบคีรีขันธ์!J346"")+IMPORTRANGE(""https://docs.google.com/spreadsheets/d/1vVf6wykvW_lAyu7Yo9L4hUTqHqIeP_qcVuxCtosJEbg/edit?usp=sharing"",""ปราจีนบุรี!J346"")+IMPORTRANGE(""https://docs.googl"&amp;"e.com/spreadsheets/d/1BIDqLLg5jk3v59G8NlR8rk5xfQDKne0sAvZHSj7TI6I/edit?usp=sharing"",""พระนครศรีอยุธยา!J346"")+IMPORTRANGE(""https://docs.google.com/spreadsheets/d/1YXvxf8Yu6_rV4hTBrwMqAcAnv6DfhUxh5emyM3CJp_w/edit?usp=sharing"",""เพชรบุรี!J346"")+IMPORTRA"&amp;"NGE(""https://docs.google.com/spreadsheets/d/19KBlQQs7uwvsao6t2n-KvW3Ax8J8uRRfZPq1zPbXgKc/edit?usp=sharing"",""ระยอง!J346"")+IMPORTRANGE(""https://docs.google.com/spreadsheets/d/1jQ6P4QcrGM89YfqcC_PxOHGCMq5ezhucwJd8ci-NHng/edit?usp=sharing"",""ราชบุรี!J34"&amp;"6"")+IMPORTRANGE(""https://docs.google.com/spreadsheets/d/1lufeA2cfFqM-elVq2hznhDzC6Pr7wkJ9ZG_sYNGCMCU/edit?usp=sharing"",""ลพบุรี!J346"")+IMPORTRANGE(""https://docs.google.com/spreadsheets/d/10oOiF7loTyfsTkbd4MpaIm0HQ9SwB7IYHdIUvt-U1Uc/edit?usp=sharing"""&amp;",""สระแก้ว!J346"")+IMPORTRANGE(""https://docs.google.com/spreadsheets/d/1xmPlrr1QbdSIKvl1dWUl9K4PjAfSL9oeMr_37QVzcxc/edit?usp=sharing"",""สระบุรี!J346"")+IMPORTRANGE(""https://docs.google.com/spreadsheets/d/1j51vR6CYVGhABJpv6tkstgok82RLpXieLzW1yOY5rHw/edi"&amp;"t?usp=sharing"",""สิงห์บุรี!J346"")+IMPORTRANGE(""https://docs.google.com/spreadsheets/d/1H1EalTWKUSzO4Z1-1CwzoDUaVffgrThEBe2sl74kKG0/edit?usp=sharing"",""สุพรรณบุรี!J346"")+IMPORTRANGE(""https://docs.google.com/spreadsheets/d/1BmIruG_sIrJLYao_Pdr7zVArWsf"&amp;"oBt2692TMi6x_854/edit?usp=sharing"",""อ่างทอง!J346"")"),40)</f>
        <v>40</v>
      </c>
      <c r="K346" s="427">
        <f ca="1">IF(I346&gt;0,J346*100/I346,0)</f>
        <v>76.92307692307692</v>
      </c>
      <c r="L346" s="58"/>
      <c r="M346" s="58"/>
      <c r="N346" s="58"/>
      <c r="O346" s="58"/>
      <c r="P346" s="58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13wPX838HrBrQMCywv1BsuMkt4PEKTChp52zj44s2izQ/edit?usp=sharing"",""กาญจนบุรี!J347"")+IMPORTRANGE(""https://docs.google.com/spreadsheets/d/1ddFKvqj1W1NEiWytbGlB1zMx_ykJDVtmfEQ-6-lIUBA/edit?usp=sharing"","&amp;"""จันทบุรี!J347"")+IMPORTRANGE(""https://docs.google.com/spreadsheets/d/1T1PQvRODqOBZk8BRht_U031fIS1beLA0Ub2CEytj2q0/edit?usp=sharing"",""ฉะเชิงเทรา!J347"")+IMPORTRANGE(""https://docs.google.com/spreadsheets/d/11tr1B-Bhyr79v2bkwVh5h_fR-PStkgjlZtkrZpYurG0/"&amp;"edit?usp=sharing"",""ชลบุรี!J347"")+IMPORTRANGE(""https://docs.google.com/spreadsheets/d/1hh-FVnSX0vozXhGluamEcS54Dw9_zqW0N7qJUWgJ0Sw/edit?usp=sharing"",""ชัยนาท!J347"")+IMPORTRANGE(""https://docs.google.com/spreadsheets/d/1jkqa6GXxSacMcY1eN8AHjMNJ_7dDXMJ"&amp;"VRLDlaFSOdPM/edit?usp=sharing"",""ตราด!J347"")+IMPORTRANGE(""https://docs.google.com/spreadsheets/d/18hSgUJ3VwClqi_qtULmmW3cLr0oe3OKaSYoKzdpTsYQ/edit?usp=sharing"",""นครนายก!J347"")+IMPORTRANGE(""https://docs.google.com/spreadsheets/d/1YTZo6WM2dQ6Ix6FSdnL"&amp;"5P7uVnVKu40sxZu975tgG10E/edit?usp=sharing"",""นครปฐม!J347"")+IMPORTRANGE(""https://docs.google.com/spreadsheets/d/1OYoGg4WDg5RIzwGeB10padOxJF9E_Vljuvvct_M7RDo/edit?usp=sharing"",""ปทุมธานี!J347"")+IMPORTRANGE(""https://docs.google.com/spreadsheets/d/1GbCI"&amp;"E4D4wk9FUozzqk7SxfDMxDVBwVmI5zcaVUSzKAc/edit?usp=sharing"",""ประจวบคีรีขันธ์!J347"")+IMPORTRANGE(""https://docs.google.com/spreadsheets/d/1vVf6wykvW_lAyu7Yo9L4hUTqHqIeP_qcVuxCtosJEbg/edit?usp=sharing"",""ปราจีนบุรี!J347"")+IMPORTRANGE(""https://docs.googl"&amp;"e.com/spreadsheets/d/1BIDqLLg5jk3v59G8NlR8rk5xfQDKne0sAvZHSj7TI6I/edit?usp=sharing"",""พระนครศรีอยุธยา!J347"")+IMPORTRANGE(""https://docs.google.com/spreadsheets/d/1YXvxf8Yu6_rV4hTBrwMqAcAnv6DfhUxh5emyM3CJp_w/edit?usp=sharing"",""เพชรบุรี!J347"")+IMPORTRA"&amp;"NGE(""https://docs.google.com/spreadsheets/d/19KBlQQs7uwvsao6t2n-KvW3Ax8J8uRRfZPq1zPbXgKc/edit?usp=sharing"",""ระยอง!J347"")+IMPORTRANGE(""https://docs.google.com/spreadsheets/d/1jQ6P4QcrGM89YfqcC_PxOHGCMq5ezhucwJd8ci-NHng/edit?usp=sharing"",""ราชบุรี!J34"&amp;"7"")+IMPORTRANGE(""https://docs.google.com/spreadsheets/d/1lufeA2cfFqM-elVq2hznhDzC6Pr7wkJ9ZG_sYNGCMCU/edit?usp=sharing"",""ลพบุรี!J347"")+IMPORTRANGE(""https://docs.google.com/spreadsheets/d/10oOiF7loTyfsTkbd4MpaIm0HQ9SwB7IYHdIUvt-U1Uc/edit?usp=sharing"""&amp;",""สระแก้ว!J347"")+IMPORTRANGE(""https://docs.google.com/spreadsheets/d/1xmPlrr1QbdSIKvl1dWUl9K4PjAfSL9oeMr_37QVzcxc/edit?usp=sharing"",""สระบุรี!J347"")+IMPORTRANGE(""https://docs.google.com/spreadsheets/d/1j51vR6CYVGhABJpv6tkstgok82RLpXieLzW1yOY5rHw/edi"&amp;"t?usp=sharing"",""สิงห์บุรี!J347"")+IMPORTRANGE(""https://docs.google.com/spreadsheets/d/1H1EalTWKUSzO4Z1-1CwzoDUaVffgrThEBe2sl74kKG0/edit?usp=sharing"",""สุพรรณบุรี!J347"")+IMPORTRANGE(""https://docs.google.com/spreadsheets/d/1BmIruG_sIrJLYao_Pdr7zVArWsf"&amp;"oBt2692TMi6x_854/edit?usp=sharing"",""อ่างทอง!J347"")"),509)</f>
        <v>509</v>
      </c>
      <c r="K347" s="430"/>
      <c r="L347" s="58"/>
      <c r="M347" s="58"/>
      <c r="N347" s="58"/>
      <c r="O347" s="58"/>
      <c r="P347" s="58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13wPX838HrBrQMCywv1BsuMkt4PEKTChp52zj44s2izQ/edit?usp=sharing"",""กาญจนบุรี!J348"")+IMPORTRANGE(""https://docs.google.com/spreadsheets/d/1ddFKvqj1W1NEiWytbGlB1zMx_ykJDVtmfEQ-6-lIUBA/edit?usp=sharing"","&amp;"""จันทบุรี!J348"")+IMPORTRANGE(""https://docs.google.com/spreadsheets/d/1T1PQvRODqOBZk8BRht_U031fIS1beLA0Ub2CEytj2q0/edit?usp=sharing"",""ฉะเชิงเทรา!J348"")+IMPORTRANGE(""https://docs.google.com/spreadsheets/d/11tr1B-Bhyr79v2bkwVh5h_fR-PStkgjlZtkrZpYurG0/"&amp;"edit?usp=sharing"",""ชลบุรี!J348"")+IMPORTRANGE(""https://docs.google.com/spreadsheets/d/1hh-FVnSX0vozXhGluamEcS54Dw9_zqW0N7qJUWgJ0Sw/edit?usp=sharing"",""ชัยนาท!J348"")+IMPORTRANGE(""https://docs.google.com/spreadsheets/d/1jkqa6GXxSacMcY1eN8AHjMNJ_7dDXMJ"&amp;"VRLDlaFSOdPM/edit?usp=sharing"",""ตราด!J348"")+IMPORTRANGE(""https://docs.google.com/spreadsheets/d/18hSgUJ3VwClqi_qtULmmW3cLr0oe3OKaSYoKzdpTsYQ/edit?usp=sharing"",""นครนายก!J348"")+IMPORTRANGE(""https://docs.google.com/spreadsheets/d/1YTZo6WM2dQ6Ix6FSdnL"&amp;"5P7uVnVKu40sxZu975tgG10E/edit?usp=sharing"",""นครปฐม!J348"")+IMPORTRANGE(""https://docs.google.com/spreadsheets/d/1OYoGg4WDg5RIzwGeB10padOxJF9E_Vljuvvct_M7RDo/edit?usp=sharing"",""ปทุมธานี!J348"")+IMPORTRANGE(""https://docs.google.com/spreadsheets/d/1GbCI"&amp;"E4D4wk9FUozzqk7SxfDMxDVBwVmI5zcaVUSzKAc/edit?usp=sharing"",""ประจวบคีรีขันธ์!J348"")+IMPORTRANGE(""https://docs.google.com/spreadsheets/d/1vVf6wykvW_lAyu7Yo9L4hUTqHqIeP_qcVuxCtosJEbg/edit?usp=sharing"",""ปราจีนบุรี!J348"")+IMPORTRANGE(""https://docs.googl"&amp;"e.com/spreadsheets/d/1BIDqLLg5jk3v59G8NlR8rk5xfQDKne0sAvZHSj7TI6I/edit?usp=sharing"",""พระนครศรีอยุธยา!J348"")+IMPORTRANGE(""https://docs.google.com/spreadsheets/d/1YXvxf8Yu6_rV4hTBrwMqAcAnv6DfhUxh5emyM3CJp_w/edit?usp=sharing"",""เพชรบุรี!J348"")+IMPORTRA"&amp;"NGE(""https://docs.google.com/spreadsheets/d/19KBlQQs7uwvsao6t2n-KvW3Ax8J8uRRfZPq1zPbXgKc/edit?usp=sharing"",""ระยอง!J348"")+IMPORTRANGE(""https://docs.google.com/spreadsheets/d/1jQ6P4QcrGM89YfqcC_PxOHGCMq5ezhucwJd8ci-NHng/edit?usp=sharing"",""ราชบุรี!J34"&amp;"8"")+IMPORTRANGE(""https://docs.google.com/spreadsheets/d/1lufeA2cfFqM-elVq2hznhDzC6Pr7wkJ9ZG_sYNGCMCU/edit?usp=sharing"",""ลพบุรี!J348"")+IMPORTRANGE(""https://docs.google.com/spreadsheets/d/10oOiF7loTyfsTkbd4MpaIm0HQ9SwB7IYHdIUvt-U1Uc/edit?usp=sharing"""&amp;",""สระแก้ว!J348"")+IMPORTRANGE(""https://docs.google.com/spreadsheets/d/1xmPlrr1QbdSIKvl1dWUl9K4PjAfSL9oeMr_37QVzcxc/edit?usp=sharing"",""สระบุรี!J348"")+IMPORTRANGE(""https://docs.google.com/spreadsheets/d/1j51vR6CYVGhABJpv6tkstgok82RLpXieLzW1yOY5rHw/edi"&amp;"t?usp=sharing"",""สิงห์บุรี!J348"")+IMPORTRANGE(""https://docs.google.com/spreadsheets/d/1H1EalTWKUSzO4Z1-1CwzoDUaVffgrThEBe2sl74kKG0/edit?usp=sharing"",""สุพรรณบุรี!J348"")+IMPORTRANGE(""https://docs.google.com/spreadsheets/d/1BmIruG_sIrJLYao_Pdr7zVArWsf"&amp;"oBt2692TMi6x_854/edit?usp=sharing"",""อ่างทอง!J348"")"),1277)</f>
        <v>1277</v>
      </c>
      <c r="K348" s="430"/>
      <c r="L348" s="58"/>
      <c r="M348" s="58"/>
      <c r="N348" s="58"/>
      <c r="O348" s="58"/>
      <c r="P348" s="58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13wPX838HrBrQMCywv1BsuMkt4PEKTChp52zj44s2izQ/edit?usp=sharing"",""กาญจนบุรี!J349"")+IMPORTRANGE(""https://docs.google.com/spreadsheets/d/1ddFKvqj1W1NEiWytbGlB1zMx_ykJDVtmfEQ-6-lIUBA/edit?usp=sharing"","&amp;"""จันทบุรี!J349"")+IMPORTRANGE(""https://docs.google.com/spreadsheets/d/1T1PQvRODqOBZk8BRht_U031fIS1beLA0Ub2CEytj2q0/edit?usp=sharing"",""ฉะเชิงเทรา!J349"")+IMPORTRANGE(""https://docs.google.com/spreadsheets/d/11tr1B-Bhyr79v2bkwVh5h_fR-PStkgjlZtkrZpYurG0/"&amp;"edit?usp=sharing"",""ชลบุรี!J349"")+IMPORTRANGE(""https://docs.google.com/spreadsheets/d/1hh-FVnSX0vozXhGluamEcS54Dw9_zqW0N7qJUWgJ0Sw/edit?usp=sharing"",""ชัยนาท!J349"")+IMPORTRANGE(""https://docs.google.com/spreadsheets/d/1jkqa6GXxSacMcY1eN8AHjMNJ_7dDXMJ"&amp;"VRLDlaFSOdPM/edit?usp=sharing"",""ตราด!J349"")+IMPORTRANGE(""https://docs.google.com/spreadsheets/d/18hSgUJ3VwClqi_qtULmmW3cLr0oe3OKaSYoKzdpTsYQ/edit?usp=sharing"",""นครนายก!J349"")+IMPORTRANGE(""https://docs.google.com/spreadsheets/d/1YTZo6WM2dQ6Ix6FSdnL"&amp;"5P7uVnVKu40sxZu975tgG10E/edit?usp=sharing"",""นครปฐม!J349"")+IMPORTRANGE(""https://docs.google.com/spreadsheets/d/1OYoGg4WDg5RIzwGeB10padOxJF9E_Vljuvvct_M7RDo/edit?usp=sharing"",""ปทุมธานี!J349"")+IMPORTRANGE(""https://docs.google.com/spreadsheets/d/1GbCI"&amp;"E4D4wk9FUozzqk7SxfDMxDVBwVmI5zcaVUSzKAc/edit?usp=sharing"",""ประจวบคีรีขันธ์!J349"")+IMPORTRANGE(""https://docs.google.com/spreadsheets/d/1vVf6wykvW_lAyu7Yo9L4hUTqHqIeP_qcVuxCtosJEbg/edit?usp=sharing"",""ปราจีนบุรี!J349"")+IMPORTRANGE(""https://docs.googl"&amp;"e.com/spreadsheets/d/1BIDqLLg5jk3v59G8NlR8rk5xfQDKne0sAvZHSj7TI6I/edit?usp=sharing"",""พระนครศรีอยุธยา!J349"")+IMPORTRANGE(""https://docs.google.com/spreadsheets/d/1YXvxf8Yu6_rV4hTBrwMqAcAnv6DfhUxh5emyM3CJp_w/edit?usp=sharing"",""เพชรบุรี!J349"")+IMPORTRA"&amp;"NGE(""https://docs.google.com/spreadsheets/d/19KBlQQs7uwvsao6t2n-KvW3Ax8J8uRRfZPq1zPbXgKc/edit?usp=sharing"",""ระยอง!J349"")+IMPORTRANGE(""https://docs.google.com/spreadsheets/d/1jQ6P4QcrGM89YfqcC_PxOHGCMq5ezhucwJd8ci-NHng/edit?usp=sharing"",""ราชบุรี!J34"&amp;"9"")+IMPORTRANGE(""https://docs.google.com/spreadsheets/d/1lufeA2cfFqM-elVq2hznhDzC6Pr7wkJ9ZG_sYNGCMCU/edit?usp=sharing"",""ลพบุรี!J349"")+IMPORTRANGE(""https://docs.google.com/spreadsheets/d/10oOiF7loTyfsTkbd4MpaIm0HQ9SwB7IYHdIUvt-U1Uc/edit?usp=sharing"""&amp;",""สระแก้ว!J349"")+IMPORTRANGE(""https://docs.google.com/spreadsheets/d/1xmPlrr1QbdSIKvl1dWUl9K4PjAfSL9oeMr_37QVzcxc/edit?usp=sharing"",""สระบุรี!J349"")+IMPORTRANGE(""https://docs.google.com/spreadsheets/d/1j51vR6CYVGhABJpv6tkstgok82RLpXieLzW1yOY5rHw/edi"&amp;"t?usp=sharing"",""สิงห์บุรี!J349"")+IMPORTRANGE(""https://docs.google.com/spreadsheets/d/1H1EalTWKUSzO4Z1-1CwzoDUaVffgrThEBe2sl74kKG0/edit?usp=sharing"",""สุพรรณบุรี!J349"")+IMPORTRANGE(""https://docs.google.com/spreadsheets/d/1BmIruG_sIrJLYao_Pdr7zVArWsf"&amp;"oBt2692TMi6x_854/edit?usp=sharing"",""อ่างทอง!J349"")"),67)</f>
        <v>67</v>
      </c>
      <c r="K349" s="430"/>
      <c r="L349" s="58"/>
      <c r="M349" s="58"/>
      <c r="N349" s="58"/>
      <c r="O349" s="58"/>
      <c r="P349" s="58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58"/>
      <c r="M350" s="58"/>
      <c r="N350" s="58"/>
      <c r="O350" s="58"/>
      <c r="P350" s="58"/>
    </row>
    <row r="351" spans="1:16" ht="19.5" x14ac:dyDescent="0.3">
      <c r="A351" s="434"/>
      <c r="B351" s="435"/>
      <c r="C351" s="436"/>
      <c r="D351" s="435"/>
      <c r="E351" s="437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26491</v>
      </c>
      <c r="K351" s="441">
        <v>0</v>
      </c>
      <c r="L351" s="289"/>
      <c r="M351" s="289"/>
      <c r="N351" s="289"/>
      <c r="O351" s="289"/>
      <c r="P351" s="289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13wPX838HrBrQMCywv1BsuMkt4PEKTChp52zj44s2izQ/edit?usp=sharing"",""กาญจนบุรี!J352"")+IMPORTRANGE(""https://docs.google.com/spreadsheets/d/1ddFKvqj1W1NEiWytbGlB1zMx_ykJDVtmfEQ-6-lIUBA/edit?usp=sharing"","&amp;"""จันทบุรี!J352"")+IMPORTRANGE(""https://docs.google.com/spreadsheets/d/1T1PQvRODqOBZk8BRht_U031fIS1beLA0Ub2CEytj2q0/edit?usp=sharing"",""ฉะเชิงเทรา!J352"")+IMPORTRANGE(""https://docs.google.com/spreadsheets/d/11tr1B-Bhyr79v2bkwVh5h_fR-PStkgjlZtkrZpYurG0/"&amp;"edit?usp=sharing"",""ชลบุรี!J352"")+IMPORTRANGE(""https://docs.google.com/spreadsheets/d/1hh-FVnSX0vozXhGluamEcS54Dw9_zqW0N7qJUWgJ0Sw/edit?usp=sharing"",""ชัยนาท!J352"")+IMPORTRANGE(""https://docs.google.com/spreadsheets/d/1jkqa6GXxSacMcY1eN8AHjMNJ_7dDXMJ"&amp;"VRLDlaFSOdPM/edit?usp=sharing"",""ตราด!J352"")+IMPORTRANGE(""https://docs.google.com/spreadsheets/d/18hSgUJ3VwClqi_qtULmmW3cLr0oe3OKaSYoKzdpTsYQ/edit?usp=sharing"",""นครนายก!J352"")+IMPORTRANGE(""https://docs.google.com/spreadsheets/d/1YTZo6WM2dQ6Ix6FSdnL"&amp;"5P7uVnVKu40sxZu975tgG10E/edit?usp=sharing"",""นครปฐม!J352"")+IMPORTRANGE(""https://docs.google.com/spreadsheets/d/1OYoGg4WDg5RIzwGeB10padOxJF9E_Vljuvvct_M7RDo/edit?usp=sharing"",""ปทุมธานี!J352"")+IMPORTRANGE(""https://docs.google.com/spreadsheets/d/1GbCI"&amp;"E4D4wk9FUozzqk7SxfDMxDVBwVmI5zcaVUSzKAc/edit?usp=sharing"",""ประจวบคีรีขันธ์!J352"")+IMPORTRANGE(""https://docs.google.com/spreadsheets/d/1vVf6wykvW_lAyu7Yo9L4hUTqHqIeP_qcVuxCtosJEbg/edit?usp=sharing"",""ปราจีนบุรี!J352"")+IMPORTRANGE(""https://docs.googl"&amp;"e.com/spreadsheets/d/1BIDqLLg5jk3v59G8NlR8rk5xfQDKne0sAvZHSj7TI6I/edit?usp=sharing"",""พระนครศรีอยุธยา!J352"")+IMPORTRANGE(""https://docs.google.com/spreadsheets/d/1YXvxf8Yu6_rV4hTBrwMqAcAnv6DfhUxh5emyM3CJp_w/edit?usp=sharing"",""เพชรบุรี!J352"")+IMPORTRA"&amp;"NGE(""https://docs.google.com/spreadsheets/d/19KBlQQs7uwvsao6t2n-KvW3Ax8J8uRRfZPq1zPbXgKc/edit?usp=sharing"",""ระยอง!J352"")+IMPORTRANGE(""https://docs.google.com/spreadsheets/d/1jQ6P4QcrGM89YfqcC_PxOHGCMq5ezhucwJd8ci-NHng/edit?usp=sharing"",""ราชบุรี!J35"&amp;"2"")+IMPORTRANGE(""https://docs.google.com/spreadsheets/d/1lufeA2cfFqM-elVq2hznhDzC6Pr7wkJ9ZG_sYNGCMCU/edit?usp=sharing"",""ลพบุรี!J352"")+IMPORTRANGE(""https://docs.google.com/spreadsheets/d/10oOiF7loTyfsTkbd4MpaIm0HQ9SwB7IYHdIUvt-U1Uc/edit?usp=sharing"""&amp;",""สระแก้ว!J352"")+IMPORTRANGE(""https://docs.google.com/spreadsheets/d/1xmPlrr1QbdSIKvl1dWUl9K4PjAfSL9oeMr_37QVzcxc/edit?usp=sharing"",""สระบุรี!J352"")+IMPORTRANGE(""https://docs.google.com/spreadsheets/d/1j51vR6CYVGhABJpv6tkstgok82RLpXieLzW1yOY5rHw/edi"&amp;"t?usp=sharing"",""สิงห์บุรี!J352"")+IMPORTRANGE(""https://docs.google.com/spreadsheets/d/1H1EalTWKUSzO4Z1-1CwzoDUaVffgrThEBe2sl74kKG0/edit?usp=sharing"",""สุพรรณบุรี!J352"")+IMPORTRANGE(""https://docs.google.com/spreadsheets/d/1BmIruG_sIrJLYao_Pdr7zVArWsf"&amp;"oBt2692TMi6x_854/edit?usp=sharing"",""อ่างทอง!J352"")"),4325)</f>
        <v>4325</v>
      </c>
      <c r="K352" s="430"/>
      <c r="L352" s="58"/>
      <c r="M352" s="58"/>
      <c r="N352" s="58"/>
      <c r="O352" s="58"/>
      <c r="P352" s="58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13wPX838HrBrQMCywv1BsuMkt4PEKTChp52zj44s2izQ/edit?usp=sharing"",""กาญจนบุรี!J353"")+IMPORTRANGE(""https://docs.google.com/spreadsheets/d/1ddFKvqj1W1NEiWytbGlB1zMx_ykJDVtmfEQ-6-lIUBA/edit?usp=sharing"","&amp;"""จันทบุรี!J353"")+IMPORTRANGE(""https://docs.google.com/spreadsheets/d/1T1PQvRODqOBZk8BRht_U031fIS1beLA0Ub2CEytj2q0/edit?usp=sharing"",""ฉะเชิงเทรา!J353"")+IMPORTRANGE(""https://docs.google.com/spreadsheets/d/11tr1B-Bhyr79v2bkwVh5h_fR-PStkgjlZtkrZpYurG0/"&amp;"edit?usp=sharing"",""ชลบุรี!J353"")+IMPORTRANGE(""https://docs.google.com/spreadsheets/d/1hh-FVnSX0vozXhGluamEcS54Dw9_zqW0N7qJUWgJ0Sw/edit?usp=sharing"",""ชัยนาท!J353"")+IMPORTRANGE(""https://docs.google.com/spreadsheets/d/1jkqa6GXxSacMcY1eN8AHjMNJ_7dDXMJ"&amp;"VRLDlaFSOdPM/edit?usp=sharing"",""ตราด!J353"")+IMPORTRANGE(""https://docs.google.com/spreadsheets/d/18hSgUJ3VwClqi_qtULmmW3cLr0oe3OKaSYoKzdpTsYQ/edit?usp=sharing"",""นครนายก!J353"")+IMPORTRANGE(""https://docs.google.com/spreadsheets/d/1YTZo6WM2dQ6Ix6FSdnL"&amp;"5P7uVnVKu40sxZu975tgG10E/edit?usp=sharing"",""นครปฐม!J353"")+IMPORTRANGE(""https://docs.google.com/spreadsheets/d/1OYoGg4WDg5RIzwGeB10padOxJF9E_Vljuvvct_M7RDo/edit?usp=sharing"",""ปทุมธานี!J353"")+IMPORTRANGE(""https://docs.google.com/spreadsheets/d/1GbCI"&amp;"E4D4wk9FUozzqk7SxfDMxDVBwVmI5zcaVUSzKAc/edit?usp=sharing"",""ประจวบคีรีขันธ์!J353"")+IMPORTRANGE(""https://docs.google.com/spreadsheets/d/1vVf6wykvW_lAyu7Yo9L4hUTqHqIeP_qcVuxCtosJEbg/edit?usp=sharing"",""ปราจีนบุรี!J353"")+IMPORTRANGE(""https://docs.googl"&amp;"e.com/spreadsheets/d/1BIDqLLg5jk3v59G8NlR8rk5xfQDKne0sAvZHSj7TI6I/edit?usp=sharing"",""พระนครศรีอยุธยา!J353"")+IMPORTRANGE(""https://docs.google.com/spreadsheets/d/1YXvxf8Yu6_rV4hTBrwMqAcAnv6DfhUxh5emyM3CJp_w/edit?usp=sharing"",""เพชรบุรี!J353"")+IMPORTRA"&amp;"NGE(""https://docs.google.com/spreadsheets/d/19KBlQQs7uwvsao6t2n-KvW3Ax8J8uRRfZPq1zPbXgKc/edit?usp=sharing"",""ระยอง!J353"")+IMPORTRANGE(""https://docs.google.com/spreadsheets/d/1jQ6P4QcrGM89YfqcC_PxOHGCMq5ezhucwJd8ci-NHng/edit?usp=sharing"",""ราชบุรี!J35"&amp;"3"")+IMPORTRANGE(""https://docs.google.com/spreadsheets/d/1lufeA2cfFqM-elVq2hznhDzC6Pr7wkJ9ZG_sYNGCMCU/edit?usp=sharing"",""ลพบุรี!J353"")+IMPORTRANGE(""https://docs.google.com/spreadsheets/d/10oOiF7loTyfsTkbd4MpaIm0HQ9SwB7IYHdIUvt-U1Uc/edit?usp=sharing"""&amp;",""สระแก้ว!J353"")+IMPORTRANGE(""https://docs.google.com/spreadsheets/d/1xmPlrr1QbdSIKvl1dWUl9K4PjAfSL9oeMr_37QVzcxc/edit?usp=sharing"",""สระบุรี!J353"")+IMPORTRANGE(""https://docs.google.com/spreadsheets/d/1j51vR6CYVGhABJpv6tkstgok82RLpXieLzW1yOY5rHw/edi"&amp;"t?usp=sharing"",""สิงห์บุรี!J353"")+IMPORTRANGE(""https://docs.google.com/spreadsheets/d/1H1EalTWKUSzO4Z1-1CwzoDUaVffgrThEBe2sl74kKG0/edit?usp=sharing"",""สุพรรณบุรี!J353"")+IMPORTRANGE(""https://docs.google.com/spreadsheets/d/1BmIruG_sIrJLYao_Pdr7zVArWsf"&amp;"oBt2692TMi6x_854/edit?usp=sharing"",""อ่างทอง!J353"")"),22166)</f>
        <v>22166</v>
      </c>
      <c r="K353" s="430"/>
      <c r="L353" s="58"/>
      <c r="M353" s="58"/>
      <c r="N353" s="58"/>
      <c r="O353" s="58"/>
      <c r="P353" s="58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58"/>
      <c r="M354" s="58"/>
      <c r="N354" s="58"/>
      <c r="O354" s="58"/>
      <c r="P354" s="58"/>
    </row>
    <row r="355" spans="1:16" ht="19.5" x14ac:dyDescent="0.3">
      <c r="A355" s="392"/>
      <c r="B355" s="393" t="s">
        <v>141</v>
      </c>
      <c r="C355" s="402"/>
      <c r="D355" s="394"/>
      <c r="E355" s="394"/>
      <c r="F355" s="394"/>
      <c r="G355" s="395"/>
      <c r="H355" s="395"/>
      <c r="I355" s="443"/>
      <c r="J355" s="443"/>
      <c r="K355" s="399"/>
      <c r="L355" s="399"/>
      <c r="M355" s="399"/>
      <c r="N355" s="399"/>
      <c r="O355" s="399"/>
      <c r="P355" s="399"/>
    </row>
    <row r="356" spans="1:16" ht="19.5" x14ac:dyDescent="0.3">
      <c r="A356" s="157"/>
      <c r="B356" s="53"/>
      <c r="C356" s="158" t="s">
        <v>16</v>
      </c>
      <c r="D356" s="159" t="s">
        <v>17</v>
      </c>
      <c r="E356" s="53"/>
      <c r="F356" s="53"/>
      <c r="G356" s="55"/>
      <c r="H356" s="160" t="s">
        <v>12</v>
      </c>
      <c r="I356" s="57"/>
      <c r="J356" s="57"/>
      <c r="K356" s="58"/>
      <c r="L356" s="161">
        <f t="shared" ref="L356:N356" ca="1" si="151">L357+L358</f>
        <v>8038505</v>
      </c>
      <c r="M356" s="161">
        <f t="shared" ca="1" si="151"/>
        <v>6498895</v>
      </c>
      <c r="N356" s="161">
        <f t="shared" ca="1" si="151"/>
        <v>1832333.48</v>
      </c>
      <c r="O356" s="161">
        <f t="shared" ref="O356:O364" ca="1" si="152">IF(L356&gt;0,N356*100/L356,0)</f>
        <v>22.794455934281313</v>
      </c>
      <c r="P356" s="161">
        <f t="shared" ref="P356:P364" ca="1" si="153">IF(M356&gt;0,N356*100/M356,0)</f>
        <v>28.194538917769869</v>
      </c>
    </row>
    <row r="357" spans="1:16" ht="18.75" x14ac:dyDescent="0.25">
      <c r="A357" s="157"/>
      <c r="B357" s="53"/>
      <c r="C357" s="53"/>
      <c r="D357" s="53"/>
      <c r="E357" s="60" t="s">
        <v>18</v>
      </c>
      <c r="F357" s="53"/>
      <c r="G357" s="55"/>
      <c r="H357" s="162" t="s">
        <v>12</v>
      </c>
      <c r="I357" s="57"/>
      <c r="J357" s="57"/>
      <c r="K357" s="58"/>
      <c r="L357" s="59">
        <f t="shared" ref="L357:N357" ca="1" si="154">L360+L363</f>
        <v>0</v>
      </c>
      <c r="M357" s="59">
        <f t="shared" ca="1" si="154"/>
        <v>0</v>
      </c>
      <c r="N357" s="59">
        <f t="shared" ca="1" si="154"/>
        <v>0</v>
      </c>
      <c r="O357" s="59">
        <f t="shared" ca="1" si="152"/>
        <v>0</v>
      </c>
      <c r="P357" s="59">
        <f t="shared" ca="1" si="153"/>
        <v>0</v>
      </c>
    </row>
    <row r="358" spans="1:16" ht="18.75" x14ac:dyDescent="0.25">
      <c r="A358" s="157"/>
      <c r="B358" s="53"/>
      <c r="C358" s="53"/>
      <c r="D358" s="53"/>
      <c r="E358" s="60" t="s">
        <v>19</v>
      </c>
      <c r="F358" s="53"/>
      <c r="G358" s="55"/>
      <c r="H358" s="162" t="s">
        <v>12</v>
      </c>
      <c r="I358" s="57"/>
      <c r="J358" s="57"/>
      <c r="K358" s="58"/>
      <c r="L358" s="59">
        <f t="shared" ref="L358:N358" ca="1" si="155">L361+L364</f>
        <v>8038505</v>
      </c>
      <c r="M358" s="59">
        <f t="shared" ca="1" si="155"/>
        <v>6498895</v>
      </c>
      <c r="N358" s="59">
        <f t="shared" ca="1" si="155"/>
        <v>1832333.48</v>
      </c>
      <c r="O358" s="59">
        <f t="shared" ca="1" si="152"/>
        <v>22.794455934281313</v>
      </c>
      <c r="P358" s="59">
        <f t="shared" ca="1" si="153"/>
        <v>28.194538917769869</v>
      </c>
    </row>
    <row r="359" spans="1:16" ht="18.75" x14ac:dyDescent="0.25">
      <c r="A359" s="157"/>
      <c r="B359" s="53"/>
      <c r="C359" s="53"/>
      <c r="D359" s="54" t="s">
        <v>20</v>
      </c>
      <c r="E359" s="53"/>
      <c r="F359" s="53"/>
      <c r="G359" s="55"/>
      <c r="H359" s="163" t="s">
        <v>12</v>
      </c>
      <c r="I359" s="164"/>
      <c r="J359" s="164"/>
      <c r="K359" s="165"/>
      <c r="L359" s="59">
        <f t="shared" ref="L359:N359" ca="1" si="156">L360+L361</f>
        <v>8038505</v>
      </c>
      <c r="M359" s="59">
        <f t="shared" ca="1" si="156"/>
        <v>6498895</v>
      </c>
      <c r="N359" s="59">
        <f t="shared" ca="1" si="156"/>
        <v>1832333.48</v>
      </c>
      <c r="O359" s="59">
        <f t="shared" ca="1" si="152"/>
        <v>22.794455934281313</v>
      </c>
      <c r="P359" s="59">
        <f t="shared" ca="1" si="153"/>
        <v>28.194538917769869</v>
      </c>
    </row>
    <row r="360" spans="1:16" ht="18.75" x14ac:dyDescent="0.25">
      <c r="A360" s="157"/>
      <c r="B360" s="53"/>
      <c r="C360" s="53"/>
      <c r="D360" s="53"/>
      <c r="E360" s="60" t="s">
        <v>34</v>
      </c>
      <c r="F360" s="53"/>
      <c r="G360" s="55"/>
      <c r="H360" s="163" t="s">
        <v>12</v>
      </c>
      <c r="I360" s="164"/>
      <c r="J360" s="164"/>
      <c r="K360" s="165"/>
      <c r="L360" s="59">
        <f ca="1">IFERROR(__xludf.DUMMYFUNCTION("IMPORTRANGE(""https://docs.google.com/spreadsheets/d/13wPX838HrBrQMCywv1BsuMkt4PEKTChp52zj44s2izQ/edit?usp=sharing"",""กาญจนบุรี!L360"")+IMPORTRANGE(""https://docs.google.com/spreadsheets/d/1ddFKvqj1W1NEiWytbGlB1zMx_ykJDVtmfEQ-6-lIUBA/edit?usp=sharing"","&amp;"""จันทบุรี!L360"")+IMPORTRANGE(""https://docs.google.com/spreadsheets/d/1T1PQvRODqOBZk8BRht_U031fIS1beLA0Ub2CEytj2q0/edit?usp=sharing"",""ฉะเชิงเทรา!L360"")+IMPORTRANGE(""https://docs.google.com/spreadsheets/d/11tr1B-Bhyr79v2bkwVh5h_fR-PStkgjlZtkrZpYurG0/"&amp;"edit?usp=sharing"",""ชลบุรี!L360"")+IMPORTRANGE(""https://docs.google.com/spreadsheets/d/1hh-FVnSX0vozXhGluamEcS54Dw9_zqW0N7qJUWgJ0Sw/edit?usp=sharing"",""ชัยนาท!L360"")+IMPORTRANGE(""https://docs.google.com/spreadsheets/d/1jkqa6GXxSacMcY1eN8AHjMNJ_7dDXMJ"&amp;"VRLDlaFSOdPM/edit?usp=sharing"",""ตราด!L360"")+IMPORTRANGE(""https://docs.google.com/spreadsheets/d/18hSgUJ3VwClqi_qtULmmW3cLr0oe3OKaSYoKzdpTsYQ/edit?usp=sharing"",""นครนายก!L360"")+IMPORTRANGE(""https://docs.google.com/spreadsheets/d/1YTZo6WM2dQ6Ix6FSdnL"&amp;"5P7uVnVKu40sxZu975tgG10E/edit?usp=sharing"",""นครปฐม!L360"")+IMPORTRANGE(""https://docs.google.com/spreadsheets/d/1OYoGg4WDg5RIzwGeB10padOxJF9E_Vljuvvct_M7RDo/edit?usp=sharing"",""ปทุมธานี!L360"")+IMPORTRANGE(""https://docs.google.com/spreadsheets/d/1GbCI"&amp;"E4D4wk9FUozzqk7SxfDMxDVBwVmI5zcaVUSzKAc/edit?usp=sharing"",""ประจวบคีรีขันธ์!L360"")+IMPORTRANGE(""https://docs.google.com/spreadsheets/d/1vVf6wykvW_lAyu7Yo9L4hUTqHqIeP_qcVuxCtosJEbg/edit?usp=sharing"",""ปราจีนบุรี!L360"")+IMPORTRANGE(""https://docs.googl"&amp;"e.com/spreadsheets/d/1BIDqLLg5jk3v59G8NlR8rk5xfQDKne0sAvZHSj7TI6I/edit?usp=sharing"",""พระนครศรีอยุธยา!L360"")+IMPORTRANGE(""https://docs.google.com/spreadsheets/d/1YXvxf8Yu6_rV4hTBrwMqAcAnv6DfhUxh5emyM3CJp_w/edit?usp=sharing"",""เพชรบุรี!L360"")+IMPORTRA"&amp;"NGE(""https://docs.google.com/spreadsheets/d/19KBlQQs7uwvsao6t2n-KvW3Ax8J8uRRfZPq1zPbXgKc/edit?usp=sharing"",""ระยอง!L360"")+IMPORTRANGE(""https://docs.google.com/spreadsheets/d/1jQ6P4QcrGM89YfqcC_PxOHGCMq5ezhucwJd8ci-NHng/edit?usp=sharing"",""ราชบุรี!L36"&amp;"0"")+IMPORTRANGE(""https://docs.google.com/spreadsheets/d/1lufeA2cfFqM-elVq2hznhDzC6Pr7wkJ9ZG_sYNGCMCU/edit?usp=sharing"",""ลพบุรี!L360"")+IMPORTRANGE(""https://docs.google.com/spreadsheets/d/10oOiF7loTyfsTkbd4MpaIm0HQ9SwB7IYHdIUvt-U1Uc/edit?usp=sharing"""&amp;",""สระแก้ว!L360"")+IMPORTRANGE(""https://docs.google.com/spreadsheets/d/1xmPlrr1QbdSIKvl1dWUl9K4PjAfSL9oeMr_37QVzcxc/edit?usp=sharing"",""สระบุรี!L360"")+IMPORTRANGE(""https://docs.google.com/spreadsheets/d/1j51vR6CYVGhABJpv6tkstgok82RLpXieLzW1yOY5rHw/edi"&amp;"t?usp=sharing"",""สิงห์บุรี!L360"")+IMPORTRANGE(""https://docs.google.com/spreadsheets/d/1H1EalTWKUSzO4Z1-1CwzoDUaVffgrThEBe2sl74kKG0/edit?usp=sharing"",""สุพรรณบุรี!L360"")+IMPORTRANGE(""https://docs.google.com/spreadsheets/d/1BmIruG_sIrJLYao_Pdr7zVArWsf"&amp;"oBt2692TMi6x_854/edit?usp=sharing"",""อ่างทอง!L360"")"),0)</f>
        <v>0</v>
      </c>
      <c r="M360" s="59">
        <f ca="1">IFERROR(__xludf.DUMMYFUNCTION("IMPORTRANGE(""https://docs.google.com/spreadsheets/d/13wPX838HrBrQMCywv1BsuMkt4PEKTChp52zj44s2izQ/edit?usp=sharing"",""กาญจนบุรี!M360"")+IMPORTRANGE(""https://docs.google.com/spreadsheets/d/1ddFKvqj1W1NEiWytbGlB1zMx_ykJDVtmfEQ-6-lIUBA/edit?usp=sharing"","&amp;"""จันทบุรี!M360"")+IMPORTRANGE(""https://docs.google.com/spreadsheets/d/1T1PQvRODqOBZk8BRht_U031fIS1beLA0Ub2CEytj2q0/edit?usp=sharing"",""ฉะเชิงเทรา!M360"")+IMPORTRANGE(""https://docs.google.com/spreadsheets/d/11tr1B-Bhyr79v2bkwVh5h_fR-PStkgjlZtkrZpYurG0/"&amp;"edit?usp=sharing"",""ชลบุรี!M360"")+IMPORTRANGE(""https://docs.google.com/spreadsheets/d/1hh-FVnSX0vozXhGluamEcS54Dw9_zqW0N7qJUWgJ0Sw/edit?usp=sharing"",""ชัยนาท!M360"")+IMPORTRANGE(""https://docs.google.com/spreadsheets/d/1jkqa6GXxSacMcY1eN8AHjMNJ_7dDXMJ"&amp;"VRLDlaFSOdPM/edit?usp=sharing"",""ตราด!M360"")+IMPORTRANGE(""https://docs.google.com/spreadsheets/d/18hSgUJ3VwClqi_qtULmmW3cLr0oe3OKaSYoKzdpTsYQ/edit?usp=sharing"",""นครนายก!M360"")+IMPORTRANGE(""https://docs.google.com/spreadsheets/d/1YTZo6WM2dQ6Ix6FSdnL"&amp;"5P7uVnVKu40sxZu975tgG10E/edit?usp=sharing"",""นครปฐม!M360"")+IMPORTRANGE(""https://docs.google.com/spreadsheets/d/1OYoGg4WDg5RIzwGeB10padOxJF9E_Vljuvvct_M7RDo/edit?usp=sharing"",""ปทุมธานี!M360"")+IMPORTRANGE(""https://docs.google.com/spreadsheets/d/1GbCI"&amp;"E4D4wk9FUozzqk7SxfDMxDVBwVmI5zcaVUSzKAc/edit?usp=sharing"",""ประจวบคีรีขันธ์!M360"")+IMPORTRANGE(""https://docs.google.com/spreadsheets/d/1vVf6wykvW_lAyu7Yo9L4hUTqHqIeP_qcVuxCtosJEbg/edit?usp=sharing"",""ปราจีนบุรี!M360"")+IMPORTRANGE(""https://docs.googl"&amp;"e.com/spreadsheets/d/1BIDqLLg5jk3v59G8NlR8rk5xfQDKne0sAvZHSj7TI6I/edit?usp=sharing"",""พระนครศรีอยุธยา!M360"")+IMPORTRANGE(""https://docs.google.com/spreadsheets/d/1YXvxf8Yu6_rV4hTBrwMqAcAnv6DfhUxh5emyM3CJp_w/edit?usp=sharing"",""เพชรบุรี!M360"")+IMPORTRA"&amp;"NGE(""https://docs.google.com/spreadsheets/d/19KBlQQs7uwvsao6t2n-KvW3Ax8J8uRRfZPq1zPbXgKc/edit?usp=sharing"",""ระยอง!M360"")+IMPORTRANGE(""https://docs.google.com/spreadsheets/d/1jQ6P4QcrGM89YfqcC_PxOHGCMq5ezhucwJd8ci-NHng/edit?usp=sharing"",""ราชบุรี!M36"&amp;"0"")+IMPORTRANGE(""https://docs.google.com/spreadsheets/d/1lufeA2cfFqM-elVq2hznhDzC6Pr7wkJ9ZG_sYNGCMCU/edit?usp=sharing"",""ลพบุรี!M360"")+IMPORTRANGE(""https://docs.google.com/spreadsheets/d/10oOiF7loTyfsTkbd4MpaIm0HQ9SwB7IYHdIUvt-U1Uc/edit?usp=sharing"""&amp;",""สระแก้ว!M360"")+IMPORTRANGE(""https://docs.google.com/spreadsheets/d/1xmPlrr1QbdSIKvl1dWUl9K4PjAfSL9oeMr_37QVzcxc/edit?usp=sharing"",""สระบุรี!M360"")+IMPORTRANGE(""https://docs.google.com/spreadsheets/d/1j51vR6CYVGhABJpv6tkstgok82RLpXieLzW1yOY5rHw/edi"&amp;"t?usp=sharing"",""สิงห์บุรี!M360"")+IMPORTRANGE(""https://docs.google.com/spreadsheets/d/1H1EalTWKUSzO4Z1-1CwzoDUaVffgrThEBe2sl74kKG0/edit?usp=sharing"",""สุพรรณบุรี!M360"")+IMPORTRANGE(""https://docs.google.com/spreadsheets/d/1BmIruG_sIrJLYao_Pdr7zVArWsf"&amp;"oBt2692TMi6x_854/edit?usp=sharing"",""อ่างทอง!M360"")"),0)</f>
        <v>0</v>
      </c>
      <c r="N360" s="59">
        <f ca="1">IFERROR(__xludf.DUMMYFUNCTION("IMPORTRANGE(""https://docs.google.com/spreadsheets/d/13wPX838HrBrQMCywv1BsuMkt4PEKTChp52zj44s2izQ/edit?usp=sharing"",""กาญจนบุรี!N360"")+IMPORTRANGE(""https://docs.google.com/spreadsheets/d/1ddFKvqj1W1NEiWytbGlB1zMx_ykJDVtmfEQ-6-lIUBA/edit?usp=sharing"","&amp;"""จันทบุรี!N360"")+IMPORTRANGE(""https://docs.google.com/spreadsheets/d/1T1PQvRODqOBZk8BRht_U031fIS1beLA0Ub2CEytj2q0/edit?usp=sharing"",""ฉะเชิงเทรา!N360"")+IMPORTRANGE(""https://docs.google.com/spreadsheets/d/11tr1B-Bhyr79v2bkwVh5h_fR-PStkgjlZtkrZpYurG0/"&amp;"edit?usp=sharing"",""ชลบุรี!N360"")+IMPORTRANGE(""https://docs.google.com/spreadsheets/d/1hh-FVnSX0vozXhGluamEcS54Dw9_zqW0N7qJUWgJ0Sw/edit?usp=sharing"",""ชัยนาท!N360"")+IMPORTRANGE(""https://docs.google.com/spreadsheets/d/1jkqa6GXxSacMcY1eN8AHjMNJ_7dDXMJ"&amp;"VRLDlaFSOdPM/edit?usp=sharing"",""ตราด!N360"")+IMPORTRANGE(""https://docs.google.com/spreadsheets/d/18hSgUJ3VwClqi_qtULmmW3cLr0oe3OKaSYoKzdpTsYQ/edit?usp=sharing"",""นครนายก!N360"")+IMPORTRANGE(""https://docs.google.com/spreadsheets/d/1YTZo6WM2dQ6Ix6FSdnL"&amp;"5P7uVnVKu40sxZu975tgG10E/edit?usp=sharing"",""นครปฐม!N360"")+IMPORTRANGE(""https://docs.google.com/spreadsheets/d/1OYoGg4WDg5RIzwGeB10padOxJF9E_Vljuvvct_M7RDo/edit?usp=sharing"",""ปทุมธานี!N360"")+IMPORTRANGE(""https://docs.google.com/spreadsheets/d/1GbCI"&amp;"E4D4wk9FUozzqk7SxfDMxDVBwVmI5zcaVUSzKAc/edit?usp=sharing"",""ประจวบคีรีขันธ์!N360"")+IMPORTRANGE(""https://docs.google.com/spreadsheets/d/1vVf6wykvW_lAyu7Yo9L4hUTqHqIeP_qcVuxCtosJEbg/edit?usp=sharing"",""ปราจีนบุรี!N360"")+IMPORTRANGE(""https://docs.googl"&amp;"e.com/spreadsheets/d/1BIDqLLg5jk3v59G8NlR8rk5xfQDKne0sAvZHSj7TI6I/edit?usp=sharing"",""พระนครศรีอยุธยา!N360"")+IMPORTRANGE(""https://docs.google.com/spreadsheets/d/1YXvxf8Yu6_rV4hTBrwMqAcAnv6DfhUxh5emyM3CJp_w/edit?usp=sharing"",""เพชรบุรี!N360"")+IMPORTRA"&amp;"NGE(""https://docs.google.com/spreadsheets/d/19KBlQQs7uwvsao6t2n-KvW3Ax8J8uRRfZPq1zPbXgKc/edit?usp=sharing"",""ระยอง!N360"")+IMPORTRANGE(""https://docs.google.com/spreadsheets/d/1jQ6P4QcrGM89YfqcC_PxOHGCMq5ezhucwJd8ci-NHng/edit?usp=sharing"",""ราชบุรี!N36"&amp;"0"")+IMPORTRANGE(""https://docs.google.com/spreadsheets/d/1lufeA2cfFqM-elVq2hznhDzC6Pr7wkJ9ZG_sYNGCMCU/edit?usp=sharing"",""ลพบุรี!N360"")+IMPORTRANGE(""https://docs.google.com/spreadsheets/d/10oOiF7loTyfsTkbd4MpaIm0HQ9SwB7IYHdIUvt-U1Uc/edit?usp=sharing"""&amp;",""สระแก้ว!N360"")+IMPORTRANGE(""https://docs.google.com/spreadsheets/d/1xmPlrr1QbdSIKvl1dWUl9K4PjAfSL9oeMr_37QVzcxc/edit?usp=sharing"",""สระบุรี!N360"")+IMPORTRANGE(""https://docs.google.com/spreadsheets/d/1j51vR6CYVGhABJpv6tkstgok82RLpXieLzW1yOY5rHw/edi"&amp;"t?usp=sharing"",""สิงห์บุรี!N360"")+IMPORTRANGE(""https://docs.google.com/spreadsheets/d/1H1EalTWKUSzO4Z1-1CwzoDUaVffgrThEBe2sl74kKG0/edit?usp=sharing"",""สุพรรณบุรี!N360"")+IMPORTRANGE(""https://docs.google.com/spreadsheets/d/1BmIruG_sIrJLYao_Pdr7zVArWsf"&amp;"oBt2692TMi6x_854/edit?usp=sharing"",""อ่างทอง!N360"")"),0)</f>
        <v>0</v>
      </c>
      <c r="O360" s="59">
        <f t="shared" ca="1" si="152"/>
        <v>0</v>
      </c>
      <c r="P360" s="59">
        <f t="shared" ca="1" si="153"/>
        <v>0</v>
      </c>
    </row>
    <row r="361" spans="1:16" ht="18.75" x14ac:dyDescent="0.25">
      <c r="A361" s="157"/>
      <c r="B361" s="53"/>
      <c r="C361" s="53"/>
      <c r="D361" s="53"/>
      <c r="E361" s="60" t="s">
        <v>35</v>
      </c>
      <c r="F361" s="53"/>
      <c r="G361" s="55"/>
      <c r="H361" s="163" t="s">
        <v>12</v>
      </c>
      <c r="I361" s="164"/>
      <c r="J361" s="164"/>
      <c r="K361" s="165"/>
      <c r="L361" s="59">
        <f ca="1">IFERROR(__xludf.DUMMYFUNCTION("IMPORTRANGE(""https://docs.google.com/spreadsheets/d/13wPX838HrBrQMCywv1BsuMkt4PEKTChp52zj44s2izQ/edit?usp=sharing"",""กาญจนบุรี!L361"")+IMPORTRANGE(""https://docs.google.com/spreadsheets/d/1ddFKvqj1W1NEiWytbGlB1zMx_ykJDVtmfEQ-6-lIUBA/edit?usp=sharing"","&amp;"""จันทบุรี!L361"")+IMPORTRANGE(""https://docs.google.com/spreadsheets/d/1T1PQvRODqOBZk8BRht_U031fIS1beLA0Ub2CEytj2q0/edit?usp=sharing"",""ฉะเชิงเทรา!L361"")+IMPORTRANGE(""https://docs.google.com/spreadsheets/d/11tr1B-Bhyr79v2bkwVh5h_fR-PStkgjlZtkrZpYurG0/"&amp;"edit?usp=sharing"",""ชลบุรี!L361"")+IMPORTRANGE(""https://docs.google.com/spreadsheets/d/1hh-FVnSX0vozXhGluamEcS54Dw9_zqW0N7qJUWgJ0Sw/edit?usp=sharing"",""ชัยนาท!L361"")+IMPORTRANGE(""https://docs.google.com/spreadsheets/d/1jkqa6GXxSacMcY1eN8AHjMNJ_7dDXMJ"&amp;"VRLDlaFSOdPM/edit?usp=sharing"",""ตราด!L361"")+IMPORTRANGE(""https://docs.google.com/spreadsheets/d/18hSgUJ3VwClqi_qtULmmW3cLr0oe3OKaSYoKzdpTsYQ/edit?usp=sharing"",""นครนายก!L361"")+IMPORTRANGE(""https://docs.google.com/spreadsheets/d/1YTZo6WM2dQ6Ix6FSdnL"&amp;"5P7uVnVKu40sxZu975tgG10E/edit?usp=sharing"",""นครปฐม!L361"")+IMPORTRANGE(""https://docs.google.com/spreadsheets/d/1OYoGg4WDg5RIzwGeB10padOxJF9E_Vljuvvct_M7RDo/edit?usp=sharing"",""ปทุมธานี!L361"")+IMPORTRANGE(""https://docs.google.com/spreadsheets/d/1GbCI"&amp;"E4D4wk9FUozzqk7SxfDMxDVBwVmI5zcaVUSzKAc/edit?usp=sharing"",""ประจวบคีรีขันธ์!L361"")+IMPORTRANGE(""https://docs.google.com/spreadsheets/d/1vVf6wykvW_lAyu7Yo9L4hUTqHqIeP_qcVuxCtosJEbg/edit?usp=sharing"",""ปราจีนบุรี!L361"")+IMPORTRANGE(""https://docs.googl"&amp;"e.com/spreadsheets/d/1BIDqLLg5jk3v59G8NlR8rk5xfQDKne0sAvZHSj7TI6I/edit?usp=sharing"",""พระนครศรีอยุธยา!L361"")+IMPORTRANGE(""https://docs.google.com/spreadsheets/d/1YXvxf8Yu6_rV4hTBrwMqAcAnv6DfhUxh5emyM3CJp_w/edit?usp=sharing"",""เพชรบุรี!L361"")+IMPORTRA"&amp;"NGE(""https://docs.google.com/spreadsheets/d/19KBlQQs7uwvsao6t2n-KvW3Ax8J8uRRfZPq1zPbXgKc/edit?usp=sharing"",""ระยอง!L361"")+IMPORTRANGE(""https://docs.google.com/spreadsheets/d/1jQ6P4QcrGM89YfqcC_PxOHGCMq5ezhucwJd8ci-NHng/edit?usp=sharing"",""ราชบุรี!L36"&amp;"1"")+IMPORTRANGE(""https://docs.google.com/spreadsheets/d/1lufeA2cfFqM-elVq2hznhDzC6Pr7wkJ9ZG_sYNGCMCU/edit?usp=sharing"",""ลพบุรี!L361"")+IMPORTRANGE(""https://docs.google.com/spreadsheets/d/10oOiF7loTyfsTkbd4MpaIm0HQ9SwB7IYHdIUvt-U1Uc/edit?usp=sharing"""&amp;",""สระแก้ว!L361"")+IMPORTRANGE(""https://docs.google.com/spreadsheets/d/1xmPlrr1QbdSIKvl1dWUl9K4PjAfSL9oeMr_37QVzcxc/edit?usp=sharing"",""สระบุรี!L361"")+IMPORTRANGE(""https://docs.google.com/spreadsheets/d/1j51vR6CYVGhABJpv6tkstgok82RLpXieLzW1yOY5rHw/edi"&amp;"t?usp=sharing"",""สิงห์บุรี!L361"")+IMPORTRANGE(""https://docs.google.com/spreadsheets/d/1H1EalTWKUSzO4Z1-1CwzoDUaVffgrThEBe2sl74kKG0/edit?usp=sharing"",""สุพรรณบุรี!L361"")+IMPORTRANGE(""https://docs.google.com/spreadsheets/d/1BmIruG_sIrJLYao_Pdr7zVArWsf"&amp;"oBt2692TMi6x_854/edit?usp=sharing"",""อ่างทอง!L361"")"),8038505)</f>
        <v>8038505</v>
      </c>
      <c r="M361" s="59">
        <f ca="1">IFERROR(__xludf.DUMMYFUNCTION("IMPORTRANGE(""https://docs.google.com/spreadsheets/d/13wPX838HrBrQMCywv1BsuMkt4PEKTChp52zj44s2izQ/edit?usp=sharing"",""กาญจนบุรี!M361"")+IMPORTRANGE(""https://docs.google.com/spreadsheets/d/1ddFKvqj1W1NEiWytbGlB1zMx_ykJDVtmfEQ-6-lIUBA/edit?usp=sharing"","&amp;"""จันทบุรี!M361"")+IMPORTRANGE(""https://docs.google.com/spreadsheets/d/1T1PQvRODqOBZk8BRht_U031fIS1beLA0Ub2CEytj2q0/edit?usp=sharing"",""ฉะเชิงเทรา!M361"")+IMPORTRANGE(""https://docs.google.com/spreadsheets/d/11tr1B-Bhyr79v2bkwVh5h_fR-PStkgjlZtkrZpYurG0/"&amp;"edit?usp=sharing"",""ชลบุรี!M361"")+IMPORTRANGE(""https://docs.google.com/spreadsheets/d/1hh-FVnSX0vozXhGluamEcS54Dw9_zqW0N7qJUWgJ0Sw/edit?usp=sharing"",""ชัยนาท!M361"")+IMPORTRANGE(""https://docs.google.com/spreadsheets/d/1jkqa6GXxSacMcY1eN8AHjMNJ_7dDXMJ"&amp;"VRLDlaFSOdPM/edit?usp=sharing"",""ตราด!M361"")+IMPORTRANGE(""https://docs.google.com/spreadsheets/d/18hSgUJ3VwClqi_qtULmmW3cLr0oe3OKaSYoKzdpTsYQ/edit?usp=sharing"",""นครนายก!M361"")+IMPORTRANGE(""https://docs.google.com/spreadsheets/d/1YTZo6WM2dQ6Ix6FSdnL"&amp;"5P7uVnVKu40sxZu975tgG10E/edit?usp=sharing"",""นครปฐม!M361"")+IMPORTRANGE(""https://docs.google.com/spreadsheets/d/1OYoGg4WDg5RIzwGeB10padOxJF9E_Vljuvvct_M7RDo/edit?usp=sharing"",""ปทุมธานี!M361"")+IMPORTRANGE(""https://docs.google.com/spreadsheets/d/1GbCI"&amp;"E4D4wk9FUozzqk7SxfDMxDVBwVmI5zcaVUSzKAc/edit?usp=sharing"",""ประจวบคีรีขันธ์!M361"")+IMPORTRANGE(""https://docs.google.com/spreadsheets/d/1vVf6wykvW_lAyu7Yo9L4hUTqHqIeP_qcVuxCtosJEbg/edit?usp=sharing"",""ปราจีนบุรี!M361"")+IMPORTRANGE(""https://docs.googl"&amp;"e.com/spreadsheets/d/1BIDqLLg5jk3v59G8NlR8rk5xfQDKne0sAvZHSj7TI6I/edit?usp=sharing"",""พระนครศรีอยุธยา!M361"")+IMPORTRANGE(""https://docs.google.com/spreadsheets/d/1YXvxf8Yu6_rV4hTBrwMqAcAnv6DfhUxh5emyM3CJp_w/edit?usp=sharing"",""เพชรบุรี!M361"")+IMPORTRA"&amp;"NGE(""https://docs.google.com/spreadsheets/d/19KBlQQs7uwvsao6t2n-KvW3Ax8J8uRRfZPq1zPbXgKc/edit?usp=sharing"",""ระยอง!M361"")+IMPORTRANGE(""https://docs.google.com/spreadsheets/d/1jQ6P4QcrGM89YfqcC_PxOHGCMq5ezhucwJd8ci-NHng/edit?usp=sharing"",""ราชบุรี!M36"&amp;"1"")+IMPORTRANGE(""https://docs.google.com/spreadsheets/d/1lufeA2cfFqM-elVq2hznhDzC6Pr7wkJ9ZG_sYNGCMCU/edit?usp=sharing"",""ลพบุรี!M361"")+IMPORTRANGE(""https://docs.google.com/spreadsheets/d/10oOiF7loTyfsTkbd4MpaIm0HQ9SwB7IYHdIUvt-U1Uc/edit?usp=sharing"""&amp;",""สระแก้ว!M361"")+IMPORTRANGE(""https://docs.google.com/spreadsheets/d/1xmPlrr1QbdSIKvl1dWUl9K4PjAfSL9oeMr_37QVzcxc/edit?usp=sharing"",""สระบุรี!M361"")+IMPORTRANGE(""https://docs.google.com/spreadsheets/d/1j51vR6CYVGhABJpv6tkstgok82RLpXieLzW1yOY5rHw/edi"&amp;"t?usp=sharing"",""สิงห์บุรี!M361"")+IMPORTRANGE(""https://docs.google.com/spreadsheets/d/1H1EalTWKUSzO4Z1-1CwzoDUaVffgrThEBe2sl74kKG0/edit?usp=sharing"",""สุพรรณบุรี!M361"")+IMPORTRANGE(""https://docs.google.com/spreadsheets/d/1BmIruG_sIrJLYao_Pdr7zVArWsf"&amp;"oBt2692TMi6x_854/edit?usp=sharing"",""อ่างทอง!M361"")"),6498895)</f>
        <v>6498895</v>
      </c>
      <c r="N361" s="59">
        <f ca="1">IFERROR(__xludf.DUMMYFUNCTION("IMPORTRANGE(""https://docs.google.com/spreadsheets/d/13wPX838HrBrQMCywv1BsuMkt4PEKTChp52zj44s2izQ/edit?usp=sharing"",""กาญจนบุรี!N361"")+IMPORTRANGE(""https://docs.google.com/spreadsheets/d/1ddFKvqj1W1NEiWytbGlB1zMx_ykJDVtmfEQ-6-lIUBA/edit?usp=sharing"","&amp;"""จันทบุรี!N361"")+IMPORTRANGE(""https://docs.google.com/spreadsheets/d/1T1PQvRODqOBZk8BRht_U031fIS1beLA0Ub2CEytj2q0/edit?usp=sharing"",""ฉะเชิงเทรา!N361"")+IMPORTRANGE(""https://docs.google.com/spreadsheets/d/11tr1B-Bhyr79v2bkwVh5h_fR-PStkgjlZtkrZpYurG0/"&amp;"edit?usp=sharing"",""ชลบุรี!N361"")+IMPORTRANGE(""https://docs.google.com/spreadsheets/d/1hh-FVnSX0vozXhGluamEcS54Dw9_zqW0N7qJUWgJ0Sw/edit?usp=sharing"",""ชัยนาท!N361"")+IMPORTRANGE(""https://docs.google.com/spreadsheets/d/1jkqa6GXxSacMcY1eN8AHjMNJ_7dDXMJ"&amp;"VRLDlaFSOdPM/edit?usp=sharing"",""ตราด!N361"")+IMPORTRANGE(""https://docs.google.com/spreadsheets/d/18hSgUJ3VwClqi_qtULmmW3cLr0oe3OKaSYoKzdpTsYQ/edit?usp=sharing"",""นครนายก!N361"")+IMPORTRANGE(""https://docs.google.com/spreadsheets/d/1YTZo6WM2dQ6Ix6FSdnL"&amp;"5P7uVnVKu40sxZu975tgG10E/edit?usp=sharing"",""นครปฐม!N361"")+IMPORTRANGE(""https://docs.google.com/spreadsheets/d/1OYoGg4WDg5RIzwGeB10padOxJF9E_Vljuvvct_M7RDo/edit?usp=sharing"",""ปทุมธานี!N361"")+IMPORTRANGE(""https://docs.google.com/spreadsheets/d/1GbCI"&amp;"E4D4wk9FUozzqk7SxfDMxDVBwVmI5zcaVUSzKAc/edit?usp=sharing"",""ประจวบคีรีขันธ์!N361"")+IMPORTRANGE(""https://docs.google.com/spreadsheets/d/1vVf6wykvW_lAyu7Yo9L4hUTqHqIeP_qcVuxCtosJEbg/edit?usp=sharing"",""ปราจีนบุรี!N361"")+IMPORTRANGE(""https://docs.googl"&amp;"e.com/spreadsheets/d/1BIDqLLg5jk3v59G8NlR8rk5xfQDKne0sAvZHSj7TI6I/edit?usp=sharing"",""พระนครศรีอยุธยา!N361"")+IMPORTRANGE(""https://docs.google.com/spreadsheets/d/1YXvxf8Yu6_rV4hTBrwMqAcAnv6DfhUxh5emyM3CJp_w/edit?usp=sharing"",""เพชรบุรี!N361"")+IMPORTRA"&amp;"NGE(""https://docs.google.com/spreadsheets/d/19KBlQQs7uwvsao6t2n-KvW3Ax8J8uRRfZPq1zPbXgKc/edit?usp=sharing"",""ระยอง!N361"")+IMPORTRANGE(""https://docs.google.com/spreadsheets/d/1jQ6P4QcrGM89YfqcC_PxOHGCMq5ezhucwJd8ci-NHng/edit?usp=sharing"",""ราชบุรี!N36"&amp;"1"")+IMPORTRANGE(""https://docs.google.com/spreadsheets/d/1lufeA2cfFqM-elVq2hznhDzC6Pr7wkJ9ZG_sYNGCMCU/edit?usp=sharing"",""ลพบุรี!N361"")+IMPORTRANGE(""https://docs.google.com/spreadsheets/d/10oOiF7loTyfsTkbd4MpaIm0HQ9SwB7IYHdIUvt-U1Uc/edit?usp=sharing"""&amp;",""สระแก้ว!N361"")+IMPORTRANGE(""https://docs.google.com/spreadsheets/d/1xmPlrr1QbdSIKvl1dWUl9K4PjAfSL9oeMr_37QVzcxc/edit?usp=sharing"",""สระบุรี!N361"")+IMPORTRANGE(""https://docs.google.com/spreadsheets/d/1j51vR6CYVGhABJpv6tkstgok82RLpXieLzW1yOY5rHw/edi"&amp;"t?usp=sharing"",""สิงห์บุรี!N361"")+IMPORTRANGE(""https://docs.google.com/spreadsheets/d/1H1EalTWKUSzO4Z1-1CwzoDUaVffgrThEBe2sl74kKG0/edit?usp=sharing"",""สุพรรณบุรี!N361"")+IMPORTRANGE(""https://docs.google.com/spreadsheets/d/1BmIruG_sIrJLYao_Pdr7zVArWsf"&amp;"oBt2692TMi6x_854/edit?usp=sharing"",""อ่างทอง!N361"")"),1832333.48)</f>
        <v>1832333.48</v>
      </c>
      <c r="O361" s="59">
        <f t="shared" ca="1" si="152"/>
        <v>22.794455934281313</v>
      </c>
      <c r="P361" s="59">
        <f t="shared" ca="1" si="153"/>
        <v>28.194538917769869</v>
      </c>
    </row>
    <row r="362" spans="1:16" ht="18.75" x14ac:dyDescent="0.25">
      <c r="A362" s="157"/>
      <c r="B362" s="53"/>
      <c r="C362" s="53"/>
      <c r="D362" s="54" t="s">
        <v>21</v>
      </c>
      <c r="E362" s="53"/>
      <c r="F362" s="53"/>
      <c r="G362" s="55"/>
      <c r="H362" s="166" t="s">
        <v>12</v>
      </c>
      <c r="I362" s="164"/>
      <c r="J362" s="164"/>
      <c r="K362" s="165"/>
      <c r="L362" s="59">
        <f t="shared" ref="L362:N362" ca="1" si="157">L363+L364</f>
        <v>0</v>
      </c>
      <c r="M362" s="59">
        <f t="shared" ca="1" si="157"/>
        <v>0</v>
      </c>
      <c r="N362" s="59">
        <f t="shared" ca="1" si="157"/>
        <v>0</v>
      </c>
      <c r="O362" s="59">
        <f t="shared" ca="1" si="152"/>
        <v>0</v>
      </c>
      <c r="P362" s="59">
        <f t="shared" ca="1" si="153"/>
        <v>0</v>
      </c>
    </row>
    <row r="363" spans="1:16" ht="18.75" x14ac:dyDescent="0.25">
      <c r="A363" s="157"/>
      <c r="B363" s="53"/>
      <c r="C363" s="53"/>
      <c r="D363" s="53"/>
      <c r="E363" s="60" t="s">
        <v>18</v>
      </c>
      <c r="F363" s="53"/>
      <c r="G363" s="55"/>
      <c r="H363" s="163" t="s">
        <v>12</v>
      </c>
      <c r="I363" s="164"/>
      <c r="J363" s="164"/>
      <c r="K363" s="165"/>
      <c r="L363" s="59">
        <f ca="1">IFERROR(__xludf.DUMMYFUNCTION("IMPORTRANGE(""https://docs.google.com/spreadsheets/d/13wPX838HrBrQMCywv1BsuMkt4PEKTChp52zj44s2izQ/edit?usp=sharing"",""กาญจนบุรี!L363"")+IMPORTRANGE(""https://docs.google.com/spreadsheets/d/1ddFKvqj1W1NEiWytbGlB1zMx_ykJDVtmfEQ-6-lIUBA/edit?usp=sharing"","&amp;"""จันทบุรี!L363"")+IMPORTRANGE(""https://docs.google.com/spreadsheets/d/1T1PQvRODqOBZk8BRht_U031fIS1beLA0Ub2CEytj2q0/edit?usp=sharing"",""ฉะเชิงเทรา!L363"")+IMPORTRANGE(""https://docs.google.com/spreadsheets/d/11tr1B-Bhyr79v2bkwVh5h_fR-PStkgjlZtkrZpYurG0/"&amp;"edit?usp=sharing"",""ชลบุรี!L363"")+IMPORTRANGE(""https://docs.google.com/spreadsheets/d/1hh-FVnSX0vozXhGluamEcS54Dw9_zqW0N7qJUWgJ0Sw/edit?usp=sharing"",""ชัยนาท!L363"")+IMPORTRANGE(""https://docs.google.com/spreadsheets/d/1jkqa6GXxSacMcY1eN8AHjMNJ_7dDXMJ"&amp;"VRLDlaFSOdPM/edit?usp=sharing"",""ตราด!L363"")+IMPORTRANGE(""https://docs.google.com/spreadsheets/d/18hSgUJ3VwClqi_qtULmmW3cLr0oe3OKaSYoKzdpTsYQ/edit?usp=sharing"",""นครนายก!L363"")+IMPORTRANGE(""https://docs.google.com/spreadsheets/d/1YTZo6WM2dQ6Ix6FSdnL"&amp;"5P7uVnVKu40sxZu975tgG10E/edit?usp=sharing"",""นครปฐม!L363"")+IMPORTRANGE(""https://docs.google.com/spreadsheets/d/1OYoGg4WDg5RIzwGeB10padOxJF9E_Vljuvvct_M7RDo/edit?usp=sharing"",""ปทุมธานี!L363"")+IMPORTRANGE(""https://docs.google.com/spreadsheets/d/1GbCI"&amp;"E4D4wk9FUozzqk7SxfDMxDVBwVmI5zcaVUSzKAc/edit?usp=sharing"",""ประจวบคีรีขันธ์!L363"")+IMPORTRANGE(""https://docs.google.com/spreadsheets/d/1vVf6wykvW_lAyu7Yo9L4hUTqHqIeP_qcVuxCtosJEbg/edit?usp=sharing"",""ปราจีนบุรี!L363"")+IMPORTRANGE(""https://docs.googl"&amp;"e.com/spreadsheets/d/1BIDqLLg5jk3v59G8NlR8rk5xfQDKne0sAvZHSj7TI6I/edit?usp=sharing"",""พระนครศรีอยุธยา!L363"")+IMPORTRANGE(""https://docs.google.com/spreadsheets/d/1YXvxf8Yu6_rV4hTBrwMqAcAnv6DfhUxh5emyM3CJp_w/edit?usp=sharing"",""เพชรบุรี!L363"")+IMPORTRA"&amp;"NGE(""https://docs.google.com/spreadsheets/d/19KBlQQs7uwvsao6t2n-KvW3Ax8J8uRRfZPq1zPbXgKc/edit?usp=sharing"",""ระยอง!L363"")+IMPORTRANGE(""https://docs.google.com/spreadsheets/d/1jQ6P4QcrGM89YfqcC_PxOHGCMq5ezhucwJd8ci-NHng/edit?usp=sharing"",""ราชบุรี!L36"&amp;"3"")+IMPORTRANGE(""https://docs.google.com/spreadsheets/d/1lufeA2cfFqM-elVq2hznhDzC6Pr7wkJ9ZG_sYNGCMCU/edit?usp=sharing"",""ลพบุรี!L363"")+IMPORTRANGE(""https://docs.google.com/spreadsheets/d/10oOiF7loTyfsTkbd4MpaIm0HQ9SwB7IYHdIUvt-U1Uc/edit?usp=sharing"""&amp;",""สระแก้ว!L363"")+IMPORTRANGE(""https://docs.google.com/spreadsheets/d/1xmPlrr1QbdSIKvl1dWUl9K4PjAfSL9oeMr_37QVzcxc/edit?usp=sharing"",""สระบุรี!L363"")+IMPORTRANGE(""https://docs.google.com/spreadsheets/d/1j51vR6CYVGhABJpv6tkstgok82RLpXieLzW1yOY5rHw/edi"&amp;"t?usp=sharing"",""สิงห์บุรี!L363"")+IMPORTRANGE(""https://docs.google.com/spreadsheets/d/1H1EalTWKUSzO4Z1-1CwzoDUaVffgrThEBe2sl74kKG0/edit?usp=sharing"",""สุพรรณบุรี!L363"")+IMPORTRANGE(""https://docs.google.com/spreadsheets/d/1BmIruG_sIrJLYao_Pdr7zVArWsf"&amp;"oBt2692TMi6x_854/edit?usp=sharing"",""อ่างทอง!L363"")"),0)</f>
        <v>0</v>
      </c>
      <c r="M363" s="59">
        <f ca="1">IFERROR(__xludf.DUMMYFUNCTION("IMPORTRANGE(""https://docs.google.com/spreadsheets/d/13wPX838HrBrQMCywv1BsuMkt4PEKTChp52zj44s2izQ/edit?usp=sharing"",""กาญจนบุรี!M363"")+IMPORTRANGE(""https://docs.google.com/spreadsheets/d/1ddFKvqj1W1NEiWytbGlB1zMx_ykJDVtmfEQ-6-lIUBA/edit?usp=sharing"","&amp;"""จันทบุรี!M363"")+IMPORTRANGE(""https://docs.google.com/spreadsheets/d/1T1PQvRODqOBZk8BRht_U031fIS1beLA0Ub2CEytj2q0/edit?usp=sharing"",""ฉะเชิงเทรา!M363"")+IMPORTRANGE(""https://docs.google.com/spreadsheets/d/11tr1B-Bhyr79v2bkwVh5h_fR-PStkgjlZtkrZpYurG0/"&amp;"edit?usp=sharing"",""ชลบุรี!M363"")+IMPORTRANGE(""https://docs.google.com/spreadsheets/d/1hh-FVnSX0vozXhGluamEcS54Dw9_zqW0N7qJUWgJ0Sw/edit?usp=sharing"",""ชัยนาท!M363"")+IMPORTRANGE(""https://docs.google.com/spreadsheets/d/1jkqa6GXxSacMcY1eN8AHjMNJ_7dDXMJ"&amp;"VRLDlaFSOdPM/edit?usp=sharing"",""ตราด!M363"")+IMPORTRANGE(""https://docs.google.com/spreadsheets/d/18hSgUJ3VwClqi_qtULmmW3cLr0oe3OKaSYoKzdpTsYQ/edit?usp=sharing"",""นครนายก!M363"")+IMPORTRANGE(""https://docs.google.com/spreadsheets/d/1YTZo6WM2dQ6Ix6FSdnL"&amp;"5P7uVnVKu40sxZu975tgG10E/edit?usp=sharing"",""นครปฐม!M363"")+IMPORTRANGE(""https://docs.google.com/spreadsheets/d/1OYoGg4WDg5RIzwGeB10padOxJF9E_Vljuvvct_M7RDo/edit?usp=sharing"",""ปทุมธานี!M363"")+IMPORTRANGE(""https://docs.google.com/spreadsheets/d/1GbCI"&amp;"E4D4wk9FUozzqk7SxfDMxDVBwVmI5zcaVUSzKAc/edit?usp=sharing"",""ประจวบคีรีขันธ์!M363"")+IMPORTRANGE(""https://docs.google.com/spreadsheets/d/1vVf6wykvW_lAyu7Yo9L4hUTqHqIeP_qcVuxCtosJEbg/edit?usp=sharing"",""ปราจีนบุรี!M363"")+IMPORTRANGE(""https://docs.googl"&amp;"e.com/spreadsheets/d/1BIDqLLg5jk3v59G8NlR8rk5xfQDKne0sAvZHSj7TI6I/edit?usp=sharing"",""พระนครศรีอยุธยา!M363"")+IMPORTRANGE(""https://docs.google.com/spreadsheets/d/1YXvxf8Yu6_rV4hTBrwMqAcAnv6DfhUxh5emyM3CJp_w/edit?usp=sharing"",""เพชรบุรี!M363"")+IMPORTRA"&amp;"NGE(""https://docs.google.com/spreadsheets/d/19KBlQQs7uwvsao6t2n-KvW3Ax8J8uRRfZPq1zPbXgKc/edit?usp=sharing"",""ระยอง!M363"")+IMPORTRANGE(""https://docs.google.com/spreadsheets/d/1jQ6P4QcrGM89YfqcC_PxOHGCMq5ezhucwJd8ci-NHng/edit?usp=sharing"",""ราชบุรี!M36"&amp;"3"")+IMPORTRANGE(""https://docs.google.com/spreadsheets/d/1lufeA2cfFqM-elVq2hznhDzC6Pr7wkJ9ZG_sYNGCMCU/edit?usp=sharing"",""ลพบุรี!M363"")+IMPORTRANGE(""https://docs.google.com/spreadsheets/d/10oOiF7loTyfsTkbd4MpaIm0HQ9SwB7IYHdIUvt-U1Uc/edit?usp=sharing"""&amp;",""สระแก้ว!M363"")+IMPORTRANGE(""https://docs.google.com/spreadsheets/d/1xmPlrr1QbdSIKvl1dWUl9K4PjAfSL9oeMr_37QVzcxc/edit?usp=sharing"",""สระบุรี!M363"")+IMPORTRANGE(""https://docs.google.com/spreadsheets/d/1j51vR6CYVGhABJpv6tkstgok82RLpXieLzW1yOY5rHw/edi"&amp;"t?usp=sharing"",""สิงห์บุรี!M363"")+IMPORTRANGE(""https://docs.google.com/spreadsheets/d/1H1EalTWKUSzO4Z1-1CwzoDUaVffgrThEBe2sl74kKG0/edit?usp=sharing"",""สุพรรณบุรี!M363"")+IMPORTRANGE(""https://docs.google.com/spreadsheets/d/1BmIruG_sIrJLYao_Pdr7zVArWsf"&amp;"oBt2692TMi6x_854/edit?usp=sharing"",""อ่างทอง!M363"")"),0)</f>
        <v>0</v>
      </c>
      <c r="N363" s="59">
        <f ca="1">IFERROR(__xludf.DUMMYFUNCTION("IMPORTRANGE(""https://docs.google.com/spreadsheets/d/13wPX838HrBrQMCywv1BsuMkt4PEKTChp52zj44s2izQ/edit?usp=sharing"",""กาญจนบุรี!N363"")+IMPORTRANGE(""https://docs.google.com/spreadsheets/d/1ddFKvqj1W1NEiWytbGlB1zMx_ykJDVtmfEQ-6-lIUBA/edit?usp=sharing"","&amp;"""จันทบุรี!N363"")+IMPORTRANGE(""https://docs.google.com/spreadsheets/d/1T1PQvRODqOBZk8BRht_U031fIS1beLA0Ub2CEytj2q0/edit?usp=sharing"",""ฉะเชิงเทรา!N363"")+IMPORTRANGE(""https://docs.google.com/spreadsheets/d/11tr1B-Bhyr79v2bkwVh5h_fR-PStkgjlZtkrZpYurG0/"&amp;"edit?usp=sharing"",""ชลบุรี!N363"")+IMPORTRANGE(""https://docs.google.com/spreadsheets/d/1hh-FVnSX0vozXhGluamEcS54Dw9_zqW0N7qJUWgJ0Sw/edit?usp=sharing"",""ชัยนาท!N363"")+IMPORTRANGE(""https://docs.google.com/spreadsheets/d/1jkqa6GXxSacMcY1eN8AHjMNJ_7dDXMJ"&amp;"VRLDlaFSOdPM/edit?usp=sharing"",""ตราด!N363"")+IMPORTRANGE(""https://docs.google.com/spreadsheets/d/18hSgUJ3VwClqi_qtULmmW3cLr0oe3OKaSYoKzdpTsYQ/edit?usp=sharing"",""นครนายก!N363"")+IMPORTRANGE(""https://docs.google.com/spreadsheets/d/1YTZo6WM2dQ6Ix6FSdnL"&amp;"5P7uVnVKu40sxZu975tgG10E/edit?usp=sharing"",""นครปฐม!N363"")+IMPORTRANGE(""https://docs.google.com/spreadsheets/d/1OYoGg4WDg5RIzwGeB10padOxJF9E_Vljuvvct_M7RDo/edit?usp=sharing"",""ปทุมธานี!N363"")+IMPORTRANGE(""https://docs.google.com/spreadsheets/d/1GbCI"&amp;"E4D4wk9FUozzqk7SxfDMxDVBwVmI5zcaVUSzKAc/edit?usp=sharing"",""ประจวบคีรีขันธ์!N363"")+IMPORTRANGE(""https://docs.google.com/spreadsheets/d/1vVf6wykvW_lAyu7Yo9L4hUTqHqIeP_qcVuxCtosJEbg/edit?usp=sharing"",""ปราจีนบุรี!N363"")+IMPORTRANGE(""https://docs.googl"&amp;"e.com/spreadsheets/d/1BIDqLLg5jk3v59G8NlR8rk5xfQDKne0sAvZHSj7TI6I/edit?usp=sharing"",""พระนครศรีอยุธยา!N363"")+IMPORTRANGE(""https://docs.google.com/spreadsheets/d/1YXvxf8Yu6_rV4hTBrwMqAcAnv6DfhUxh5emyM3CJp_w/edit?usp=sharing"",""เพชรบุรี!N363"")+IMPORTRA"&amp;"NGE(""https://docs.google.com/spreadsheets/d/19KBlQQs7uwvsao6t2n-KvW3Ax8J8uRRfZPq1zPbXgKc/edit?usp=sharing"",""ระยอง!N363"")+IMPORTRANGE(""https://docs.google.com/spreadsheets/d/1jQ6P4QcrGM89YfqcC_PxOHGCMq5ezhucwJd8ci-NHng/edit?usp=sharing"",""ราชบุรี!N36"&amp;"3"")+IMPORTRANGE(""https://docs.google.com/spreadsheets/d/1lufeA2cfFqM-elVq2hznhDzC6Pr7wkJ9ZG_sYNGCMCU/edit?usp=sharing"",""ลพบุรี!N363"")+IMPORTRANGE(""https://docs.google.com/spreadsheets/d/10oOiF7loTyfsTkbd4MpaIm0HQ9SwB7IYHdIUvt-U1Uc/edit?usp=sharing"""&amp;",""สระแก้ว!N363"")+IMPORTRANGE(""https://docs.google.com/spreadsheets/d/1xmPlrr1QbdSIKvl1dWUl9K4PjAfSL9oeMr_37QVzcxc/edit?usp=sharing"",""สระบุรี!N363"")+IMPORTRANGE(""https://docs.google.com/spreadsheets/d/1j51vR6CYVGhABJpv6tkstgok82RLpXieLzW1yOY5rHw/edi"&amp;"t?usp=sharing"",""สิงห์บุรี!N363"")+IMPORTRANGE(""https://docs.google.com/spreadsheets/d/1H1EalTWKUSzO4Z1-1CwzoDUaVffgrThEBe2sl74kKG0/edit?usp=sharing"",""สุพรรณบุรี!N363"")+IMPORTRANGE(""https://docs.google.com/spreadsheets/d/1BmIruG_sIrJLYao_Pdr7zVArWsf"&amp;"oBt2692TMi6x_854/edit?usp=sharing"",""อ่างทอง!N363"")"),0)</f>
        <v>0</v>
      </c>
      <c r="O363" s="59">
        <f t="shared" ca="1" si="152"/>
        <v>0</v>
      </c>
      <c r="P363" s="59">
        <f t="shared" ca="1" si="153"/>
        <v>0</v>
      </c>
    </row>
    <row r="364" spans="1:16" ht="18.75" x14ac:dyDescent="0.25">
      <c r="A364" s="157"/>
      <c r="B364" s="53"/>
      <c r="C364" s="53"/>
      <c r="D364" s="53"/>
      <c r="E364" s="60" t="s">
        <v>19</v>
      </c>
      <c r="F364" s="53"/>
      <c r="G364" s="55"/>
      <c r="H364" s="166" t="s">
        <v>12</v>
      </c>
      <c r="I364" s="164"/>
      <c r="J364" s="164"/>
      <c r="K364" s="165"/>
      <c r="L364" s="59">
        <f ca="1">IFERROR(__xludf.DUMMYFUNCTION("IMPORTRANGE(""https://docs.google.com/spreadsheets/d/13wPX838HrBrQMCywv1BsuMkt4PEKTChp52zj44s2izQ/edit?usp=sharing"",""กาญจนบุรี!L364"")+IMPORTRANGE(""https://docs.google.com/spreadsheets/d/1ddFKvqj1W1NEiWytbGlB1zMx_ykJDVtmfEQ-6-lIUBA/edit?usp=sharing"","&amp;"""จันทบุรี!L364"")+IMPORTRANGE(""https://docs.google.com/spreadsheets/d/1T1PQvRODqOBZk8BRht_U031fIS1beLA0Ub2CEytj2q0/edit?usp=sharing"",""ฉะเชิงเทรา!L364"")+IMPORTRANGE(""https://docs.google.com/spreadsheets/d/11tr1B-Bhyr79v2bkwVh5h_fR-PStkgjlZtkrZpYurG0/"&amp;"edit?usp=sharing"",""ชลบุรี!L364"")+IMPORTRANGE(""https://docs.google.com/spreadsheets/d/1hh-FVnSX0vozXhGluamEcS54Dw9_zqW0N7qJUWgJ0Sw/edit?usp=sharing"",""ชัยนาท!L364"")+IMPORTRANGE(""https://docs.google.com/spreadsheets/d/1jkqa6GXxSacMcY1eN8AHjMNJ_7dDXMJ"&amp;"VRLDlaFSOdPM/edit?usp=sharing"",""ตราด!L364"")+IMPORTRANGE(""https://docs.google.com/spreadsheets/d/18hSgUJ3VwClqi_qtULmmW3cLr0oe3OKaSYoKzdpTsYQ/edit?usp=sharing"",""นครนายก!L364"")+IMPORTRANGE(""https://docs.google.com/spreadsheets/d/1YTZo6WM2dQ6Ix6FSdnL"&amp;"5P7uVnVKu40sxZu975tgG10E/edit?usp=sharing"",""นครปฐม!L364"")+IMPORTRANGE(""https://docs.google.com/spreadsheets/d/1OYoGg4WDg5RIzwGeB10padOxJF9E_Vljuvvct_M7RDo/edit?usp=sharing"",""ปทุมธานี!L364"")+IMPORTRANGE(""https://docs.google.com/spreadsheets/d/1GbCI"&amp;"E4D4wk9FUozzqk7SxfDMxDVBwVmI5zcaVUSzKAc/edit?usp=sharing"",""ประจวบคีรีขันธ์!L364"")+IMPORTRANGE(""https://docs.google.com/spreadsheets/d/1vVf6wykvW_lAyu7Yo9L4hUTqHqIeP_qcVuxCtosJEbg/edit?usp=sharing"",""ปราจีนบุรี!L364"")+IMPORTRANGE(""https://docs.googl"&amp;"e.com/spreadsheets/d/1BIDqLLg5jk3v59G8NlR8rk5xfQDKne0sAvZHSj7TI6I/edit?usp=sharing"",""พระนครศรีอยุธยา!L364"")+IMPORTRANGE(""https://docs.google.com/spreadsheets/d/1YXvxf8Yu6_rV4hTBrwMqAcAnv6DfhUxh5emyM3CJp_w/edit?usp=sharing"",""เพชรบุรี!L364"")+IMPORTRA"&amp;"NGE(""https://docs.google.com/spreadsheets/d/19KBlQQs7uwvsao6t2n-KvW3Ax8J8uRRfZPq1zPbXgKc/edit?usp=sharing"",""ระยอง!L364"")+IMPORTRANGE(""https://docs.google.com/spreadsheets/d/1jQ6P4QcrGM89YfqcC_PxOHGCMq5ezhucwJd8ci-NHng/edit?usp=sharing"",""ราชบุรี!L36"&amp;"4"")+IMPORTRANGE(""https://docs.google.com/spreadsheets/d/1lufeA2cfFqM-elVq2hznhDzC6Pr7wkJ9ZG_sYNGCMCU/edit?usp=sharing"",""ลพบุรี!L364"")+IMPORTRANGE(""https://docs.google.com/spreadsheets/d/10oOiF7loTyfsTkbd4MpaIm0HQ9SwB7IYHdIUvt-U1Uc/edit?usp=sharing"""&amp;",""สระแก้ว!L364"")+IMPORTRANGE(""https://docs.google.com/spreadsheets/d/1xmPlrr1QbdSIKvl1dWUl9K4PjAfSL9oeMr_37QVzcxc/edit?usp=sharing"",""สระบุรี!L364"")+IMPORTRANGE(""https://docs.google.com/spreadsheets/d/1j51vR6CYVGhABJpv6tkstgok82RLpXieLzW1yOY5rHw/edi"&amp;"t?usp=sharing"",""สิงห์บุรี!L364"")+IMPORTRANGE(""https://docs.google.com/spreadsheets/d/1H1EalTWKUSzO4Z1-1CwzoDUaVffgrThEBe2sl74kKG0/edit?usp=sharing"",""สุพรรณบุรี!L364"")+IMPORTRANGE(""https://docs.google.com/spreadsheets/d/1BmIruG_sIrJLYao_Pdr7zVArWsf"&amp;"oBt2692TMi6x_854/edit?usp=sharing"",""อ่างทอง!L364"")"),0)</f>
        <v>0</v>
      </c>
      <c r="M364" s="59">
        <f ca="1">IFERROR(__xludf.DUMMYFUNCTION("IMPORTRANGE(""https://docs.google.com/spreadsheets/d/13wPX838HrBrQMCywv1BsuMkt4PEKTChp52zj44s2izQ/edit?usp=sharing"",""กาญจนบุรี!M364"")+IMPORTRANGE(""https://docs.google.com/spreadsheets/d/1ddFKvqj1W1NEiWytbGlB1zMx_ykJDVtmfEQ-6-lIUBA/edit?usp=sharing"","&amp;"""จันทบุรี!M364"")+IMPORTRANGE(""https://docs.google.com/spreadsheets/d/1T1PQvRODqOBZk8BRht_U031fIS1beLA0Ub2CEytj2q0/edit?usp=sharing"",""ฉะเชิงเทรา!M364"")+IMPORTRANGE(""https://docs.google.com/spreadsheets/d/11tr1B-Bhyr79v2bkwVh5h_fR-PStkgjlZtkrZpYurG0/"&amp;"edit?usp=sharing"",""ชลบุรี!M364"")+IMPORTRANGE(""https://docs.google.com/spreadsheets/d/1hh-FVnSX0vozXhGluamEcS54Dw9_zqW0N7qJUWgJ0Sw/edit?usp=sharing"",""ชัยนาท!M364"")+IMPORTRANGE(""https://docs.google.com/spreadsheets/d/1jkqa6GXxSacMcY1eN8AHjMNJ_7dDXMJ"&amp;"VRLDlaFSOdPM/edit?usp=sharing"",""ตราด!M364"")+IMPORTRANGE(""https://docs.google.com/spreadsheets/d/18hSgUJ3VwClqi_qtULmmW3cLr0oe3OKaSYoKzdpTsYQ/edit?usp=sharing"",""นครนายก!M364"")+IMPORTRANGE(""https://docs.google.com/spreadsheets/d/1YTZo6WM2dQ6Ix6FSdnL"&amp;"5P7uVnVKu40sxZu975tgG10E/edit?usp=sharing"",""นครปฐม!M364"")+IMPORTRANGE(""https://docs.google.com/spreadsheets/d/1OYoGg4WDg5RIzwGeB10padOxJF9E_Vljuvvct_M7RDo/edit?usp=sharing"",""ปทุมธานี!M364"")+IMPORTRANGE(""https://docs.google.com/spreadsheets/d/1GbCI"&amp;"E4D4wk9FUozzqk7SxfDMxDVBwVmI5zcaVUSzKAc/edit?usp=sharing"",""ประจวบคีรีขันธ์!M364"")+IMPORTRANGE(""https://docs.google.com/spreadsheets/d/1vVf6wykvW_lAyu7Yo9L4hUTqHqIeP_qcVuxCtosJEbg/edit?usp=sharing"",""ปราจีนบุรี!M364"")+IMPORTRANGE(""https://docs.googl"&amp;"e.com/spreadsheets/d/1BIDqLLg5jk3v59G8NlR8rk5xfQDKne0sAvZHSj7TI6I/edit?usp=sharing"",""พระนครศรีอยุธยา!M364"")+IMPORTRANGE(""https://docs.google.com/spreadsheets/d/1YXvxf8Yu6_rV4hTBrwMqAcAnv6DfhUxh5emyM3CJp_w/edit?usp=sharing"",""เพชรบุรี!M364"")+IMPORTRA"&amp;"NGE(""https://docs.google.com/spreadsheets/d/19KBlQQs7uwvsao6t2n-KvW3Ax8J8uRRfZPq1zPbXgKc/edit?usp=sharing"",""ระยอง!M364"")+IMPORTRANGE(""https://docs.google.com/spreadsheets/d/1jQ6P4QcrGM89YfqcC_PxOHGCMq5ezhucwJd8ci-NHng/edit?usp=sharing"",""ราชบุรี!M36"&amp;"4"")+IMPORTRANGE(""https://docs.google.com/spreadsheets/d/1lufeA2cfFqM-elVq2hznhDzC6Pr7wkJ9ZG_sYNGCMCU/edit?usp=sharing"",""ลพบุรี!M364"")+IMPORTRANGE(""https://docs.google.com/spreadsheets/d/10oOiF7loTyfsTkbd4MpaIm0HQ9SwB7IYHdIUvt-U1Uc/edit?usp=sharing"""&amp;",""สระแก้ว!M364"")+IMPORTRANGE(""https://docs.google.com/spreadsheets/d/1xmPlrr1QbdSIKvl1dWUl9K4PjAfSL9oeMr_37QVzcxc/edit?usp=sharing"",""สระบุรี!M364"")+IMPORTRANGE(""https://docs.google.com/spreadsheets/d/1j51vR6CYVGhABJpv6tkstgok82RLpXieLzW1yOY5rHw/edi"&amp;"t?usp=sharing"",""สิงห์บุรี!M364"")+IMPORTRANGE(""https://docs.google.com/spreadsheets/d/1H1EalTWKUSzO4Z1-1CwzoDUaVffgrThEBe2sl74kKG0/edit?usp=sharing"",""สุพรรณบุรี!M364"")+IMPORTRANGE(""https://docs.google.com/spreadsheets/d/1BmIruG_sIrJLYao_Pdr7zVArWsf"&amp;"oBt2692TMi6x_854/edit?usp=sharing"",""อ่างทอง!M364"")"),0)</f>
        <v>0</v>
      </c>
      <c r="N364" s="59">
        <f ca="1">IFERROR(__xludf.DUMMYFUNCTION("IMPORTRANGE(""https://docs.google.com/spreadsheets/d/13wPX838HrBrQMCywv1BsuMkt4PEKTChp52zj44s2izQ/edit?usp=sharing"",""กาญจนบุรี!N364"")+IMPORTRANGE(""https://docs.google.com/spreadsheets/d/1ddFKvqj1W1NEiWytbGlB1zMx_ykJDVtmfEQ-6-lIUBA/edit?usp=sharing"","&amp;"""จันทบุรี!N364"")+IMPORTRANGE(""https://docs.google.com/spreadsheets/d/1T1PQvRODqOBZk8BRht_U031fIS1beLA0Ub2CEytj2q0/edit?usp=sharing"",""ฉะเชิงเทรา!N364"")+IMPORTRANGE(""https://docs.google.com/spreadsheets/d/11tr1B-Bhyr79v2bkwVh5h_fR-PStkgjlZtkrZpYurG0/"&amp;"edit?usp=sharing"",""ชลบุรี!N364"")+IMPORTRANGE(""https://docs.google.com/spreadsheets/d/1hh-FVnSX0vozXhGluamEcS54Dw9_zqW0N7qJUWgJ0Sw/edit?usp=sharing"",""ชัยนาท!N364"")+IMPORTRANGE(""https://docs.google.com/spreadsheets/d/1jkqa6GXxSacMcY1eN8AHjMNJ_7dDXMJ"&amp;"VRLDlaFSOdPM/edit?usp=sharing"",""ตราด!N364"")+IMPORTRANGE(""https://docs.google.com/spreadsheets/d/18hSgUJ3VwClqi_qtULmmW3cLr0oe3OKaSYoKzdpTsYQ/edit?usp=sharing"",""นครนายก!N364"")+IMPORTRANGE(""https://docs.google.com/spreadsheets/d/1YTZo6WM2dQ6Ix6FSdnL"&amp;"5P7uVnVKu40sxZu975tgG10E/edit?usp=sharing"",""นครปฐม!N364"")+IMPORTRANGE(""https://docs.google.com/spreadsheets/d/1OYoGg4WDg5RIzwGeB10padOxJF9E_Vljuvvct_M7RDo/edit?usp=sharing"",""ปทุมธานี!N364"")+IMPORTRANGE(""https://docs.google.com/spreadsheets/d/1GbCI"&amp;"E4D4wk9FUozzqk7SxfDMxDVBwVmI5zcaVUSzKAc/edit?usp=sharing"",""ประจวบคีรีขันธ์!N364"")+IMPORTRANGE(""https://docs.google.com/spreadsheets/d/1vVf6wykvW_lAyu7Yo9L4hUTqHqIeP_qcVuxCtosJEbg/edit?usp=sharing"",""ปราจีนบุรี!N364"")+IMPORTRANGE(""https://docs.googl"&amp;"e.com/spreadsheets/d/1BIDqLLg5jk3v59G8NlR8rk5xfQDKne0sAvZHSj7TI6I/edit?usp=sharing"",""พระนครศรีอยุธยา!N364"")+IMPORTRANGE(""https://docs.google.com/spreadsheets/d/1YXvxf8Yu6_rV4hTBrwMqAcAnv6DfhUxh5emyM3CJp_w/edit?usp=sharing"",""เพชรบุรี!N364"")+IMPORTRA"&amp;"NGE(""https://docs.google.com/spreadsheets/d/19KBlQQs7uwvsao6t2n-KvW3Ax8J8uRRfZPq1zPbXgKc/edit?usp=sharing"",""ระยอง!N364"")+IMPORTRANGE(""https://docs.google.com/spreadsheets/d/1jQ6P4QcrGM89YfqcC_PxOHGCMq5ezhucwJd8ci-NHng/edit?usp=sharing"",""ราชบุรี!N36"&amp;"4"")+IMPORTRANGE(""https://docs.google.com/spreadsheets/d/1lufeA2cfFqM-elVq2hznhDzC6Pr7wkJ9ZG_sYNGCMCU/edit?usp=sharing"",""ลพบุรี!N364"")+IMPORTRANGE(""https://docs.google.com/spreadsheets/d/10oOiF7loTyfsTkbd4MpaIm0HQ9SwB7IYHdIUvt-U1Uc/edit?usp=sharing"""&amp;",""สระแก้ว!N364"")+IMPORTRANGE(""https://docs.google.com/spreadsheets/d/1xmPlrr1QbdSIKvl1dWUl9K4PjAfSL9oeMr_37QVzcxc/edit?usp=sharing"",""สระบุรี!N364"")+IMPORTRANGE(""https://docs.google.com/spreadsheets/d/1j51vR6CYVGhABJpv6tkstgok82RLpXieLzW1yOY5rHw/edi"&amp;"t?usp=sharing"",""สิงห์บุรี!N364"")+IMPORTRANGE(""https://docs.google.com/spreadsheets/d/1H1EalTWKUSzO4Z1-1CwzoDUaVffgrThEBe2sl74kKG0/edit?usp=sharing"",""สุพรรณบุรี!N364"")+IMPORTRANGE(""https://docs.google.com/spreadsheets/d/1BmIruG_sIrJLYao_Pdr7zVArWsf"&amp;"oBt2692TMi6x_854/edit?usp=sharing"",""อ่างทอง!N364"")"),0)</f>
        <v>0</v>
      </c>
      <c r="O364" s="59">
        <f t="shared" ca="1" si="152"/>
        <v>0</v>
      </c>
      <c r="P364" s="59">
        <f t="shared" ca="1" si="153"/>
        <v>0</v>
      </c>
    </row>
    <row r="365" spans="1:16" ht="19.5" x14ac:dyDescent="0.3">
      <c r="A365" s="281"/>
      <c r="B365" s="282"/>
      <c r="C365" s="284"/>
      <c r="D365" s="444" t="s">
        <v>142</v>
      </c>
      <c r="E365" s="284"/>
      <c r="F365" s="284"/>
      <c r="G365" s="285"/>
      <c r="H365" s="445" t="s">
        <v>33</v>
      </c>
      <c r="I365" s="446">
        <f t="shared" ref="I365:J365" ca="1" si="158">I371</f>
        <v>1810</v>
      </c>
      <c r="J365" s="447">
        <f t="shared" ca="1" si="158"/>
        <v>357</v>
      </c>
      <c r="K365" s="448">
        <f ca="1">IF(I365&gt;0,J365*100/I365,0)</f>
        <v>19.723756906077348</v>
      </c>
      <c r="L365" s="289"/>
      <c r="M365" s="289"/>
      <c r="N365" s="289"/>
      <c r="O365" s="289"/>
      <c r="P365" s="289"/>
    </row>
    <row r="366" spans="1:16" ht="19.5" x14ac:dyDescent="0.3">
      <c r="A366" s="167"/>
      <c r="B366" s="168"/>
      <c r="C366" s="158" t="s">
        <v>16</v>
      </c>
      <c r="D366" s="169" t="s">
        <v>36</v>
      </c>
      <c r="E366" s="170"/>
      <c r="F366" s="170"/>
      <c r="G366" s="171"/>
      <c r="H366" s="172"/>
      <c r="I366" s="57"/>
      <c r="J366" s="57"/>
      <c r="K366" s="58"/>
      <c r="L366" s="165"/>
      <c r="M366" s="165"/>
      <c r="N366" s="165"/>
      <c r="O366" s="165"/>
      <c r="P366" s="165"/>
    </row>
    <row r="367" spans="1:16" ht="18.75" x14ac:dyDescent="0.25">
      <c r="A367" s="167"/>
      <c r="B367" s="174"/>
      <c r="C367" s="168"/>
      <c r="D367" s="174"/>
      <c r="E367" s="173" t="s">
        <v>143</v>
      </c>
      <c r="F367" s="174"/>
      <c r="G367" s="172"/>
      <c r="H367" s="185" t="s">
        <v>33</v>
      </c>
      <c r="I367" s="196">
        <v>0</v>
      </c>
      <c r="J367" s="182">
        <f ca="1">IFERROR(__xludf.DUMMYFUNCTION("IMPORTRANGE(""https://docs.google.com/spreadsheets/d/13wPX838HrBrQMCywv1BsuMkt4PEKTChp52zj44s2izQ/edit?usp=sharing"",""กาญจนบุรี!J367"")+IMPORTRANGE(""https://docs.google.com/spreadsheets/d/1ddFKvqj1W1NEiWytbGlB1zMx_ykJDVtmfEQ-6-lIUBA/edit?usp=sharing"","&amp;"""จันทบุรี!J367"")+IMPORTRANGE(""https://docs.google.com/spreadsheets/d/1T1PQvRODqOBZk8BRht_U031fIS1beLA0Ub2CEytj2q0/edit?usp=sharing"",""ฉะเชิงเทรา!J367"")+IMPORTRANGE(""https://docs.google.com/spreadsheets/d/11tr1B-Bhyr79v2bkwVh5h_fR-PStkgjlZtkrZpYurG0/"&amp;"edit?usp=sharing"",""ชลบุรี!J367"")+IMPORTRANGE(""https://docs.google.com/spreadsheets/d/1hh-FVnSX0vozXhGluamEcS54Dw9_zqW0N7qJUWgJ0Sw/edit?usp=sharing"",""ชัยนาท!J367"")+IMPORTRANGE(""https://docs.google.com/spreadsheets/d/1jkqa6GXxSacMcY1eN8AHjMNJ_7dDXMJ"&amp;"VRLDlaFSOdPM/edit?usp=sharing"",""ตราด!J367"")+IMPORTRANGE(""https://docs.google.com/spreadsheets/d/18hSgUJ3VwClqi_qtULmmW3cLr0oe3OKaSYoKzdpTsYQ/edit?usp=sharing"",""นครนายก!J367"")+IMPORTRANGE(""https://docs.google.com/spreadsheets/d/1YTZo6WM2dQ6Ix6FSdnL"&amp;"5P7uVnVKu40sxZu975tgG10E/edit?usp=sharing"",""นครปฐม!J367"")+IMPORTRANGE(""https://docs.google.com/spreadsheets/d/1OYoGg4WDg5RIzwGeB10padOxJF9E_Vljuvvct_M7RDo/edit?usp=sharing"",""ปทุมธานี!J367"")+IMPORTRANGE(""https://docs.google.com/spreadsheets/d/1GbCI"&amp;"E4D4wk9FUozzqk7SxfDMxDVBwVmI5zcaVUSzKAc/edit?usp=sharing"",""ประจวบคีรีขันธ์!J367"")+IMPORTRANGE(""https://docs.google.com/spreadsheets/d/1vVf6wykvW_lAyu7Yo9L4hUTqHqIeP_qcVuxCtosJEbg/edit?usp=sharing"",""ปราจีนบุรี!J367"")+IMPORTRANGE(""https://docs.googl"&amp;"e.com/spreadsheets/d/1BIDqLLg5jk3v59G8NlR8rk5xfQDKne0sAvZHSj7TI6I/edit?usp=sharing"",""พระนครศรีอยุธยา!J367"")+IMPORTRANGE(""https://docs.google.com/spreadsheets/d/1YXvxf8Yu6_rV4hTBrwMqAcAnv6DfhUxh5emyM3CJp_w/edit?usp=sharing"",""เพชรบุรี!J367"")+IMPORTRA"&amp;"NGE(""https://docs.google.com/spreadsheets/d/19KBlQQs7uwvsao6t2n-KvW3Ax8J8uRRfZPq1zPbXgKc/edit?usp=sharing"",""ระยอง!J367"")+IMPORTRANGE(""https://docs.google.com/spreadsheets/d/1jQ6P4QcrGM89YfqcC_PxOHGCMq5ezhucwJd8ci-NHng/edit?usp=sharing"",""ราชบุรี!J36"&amp;"7"")+IMPORTRANGE(""https://docs.google.com/spreadsheets/d/1lufeA2cfFqM-elVq2hznhDzC6Pr7wkJ9ZG_sYNGCMCU/edit?usp=sharing"",""ลพบุรี!J367"")+IMPORTRANGE(""https://docs.google.com/spreadsheets/d/10oOiF7loTyfsTkbd4MpaIm0HQ9SwB7IYHdIUvt-U1Uc/edit?usp=sharing"""&amp;",""สระแก้ว!J367"")+IMPORTRANGE(""https://docs.google.com/spreadsheets/d/1xmPlrr1QbdSIKvl1dWUl9K4PjAfSL9oeMr_37QVzcxc/edit?usp=sharing"",""สระบุรี!J367"")+IMPORTRANGE(""https://docs.google.com/spreadsheets/d/1j51vR6CYVGhABJpv6tkstgok82RLpXieLzW1yOY5rHw/edi"&amp;"t?usp=sharing"",""สิงห์บุรี!J367"")+IMPORTRANGE(""https://docs.google.com/spreadsheets/d/1H1EalTWKUSzO4Z1-1CwzoDUaVffgrThEBe2sl74kKG0/edit?usp=sharing"",""สุพรรณบุรี!J367"")+IMPORTRANGE(""https://docs.google.com/spreadsheets/d/1BmIruG_sIrJLYao_Pdr7zVArWsf"&amp;"oBt2692TMi6x_854/edit?usp=sharing"",""อ่างทอง!J367"")"),455)</f>
        <v>455</v>
      </c>
      <c r="K367" s="59">
        <f t="shared" ref="K367:K372" si="159">IF(I367&gt;0,J367*100/I367,0)</f>
        <v>0</v>
      </c>
      <c r="L367" s="165"/>
      <c r="M367" s="165"/>
      <c r="N367" s="165"/>
      <c r="O367" s="165"/>
      <c r="P367" s="165"/>
    </row>
    <row r="368" spans="1:16" ht="18.75" x14ac:dyDescent="0.25">
      <c r="A368" s="167"/>
      <c r="B368" s="174"/>
      <c r="C368" s="168"/>
      <c r="D368" s="174"/>
      <c r="E368" s="174"/>
      <c r="F368" s="174"/>
      <c r="G368" s="172"/>
      <c r="H368" s="185" t="s">
        <v>44</v>
      </c>
      <c r="I368" s="182">
        <f ca="1">IFERROR(__xludf.DUMMYFUNCTION("IMPORTRANGE(""https://docs.google.com/spreadsheets/d/13wPX838HrBrQMCywv1BsuMkt4PEKTChp52zj44s2izQ/edit?usp=sharing"",""กาญจนบุรี!I368"")+IMPORTRANGE(""https://docs.google.com/spreadsheets/d/1ddFKvqj1W1NEiWytbGlB1zMx_ykJDVtmfEQ-6-lIUBA/edit?usp=sharing"","&amp;"""จันทบุรี!I368"")+IMPORTRANGE(""https://docs.google.com/spreadsheets/d/1T1PQvRODqOBZk8BRht_U031fIS1beLA0Ub2CEytj2q0/edit?usp=sharing"",""ฉะเชิงเทรา!I368"")+IMPORTRANGE(""https://docs.google.com/spreadsheets/d/11tr1B-Bhyr79v2bkwVh5h_fR-PStkgjlZtkrZpYurG0/"&amp;"edit?usp=sharing"",""ชลบุรี!I368"")+IMPORTRANGE(""https://docs.google.com/spreadsheets/d/1hh-FVnSX0vozXhGluamEcS54Dw9_zqW0N7qJUWgJ0Sw/edit?usp=sharing"",""ชัยนาท!I368"")+IMPORTRANGE(""https://docs.google.com/spreadsheets/d/1jkqa6GXxSacMcY1eN8AHjMNJ_7dDXMJ"&amp;"VRLDlaFSOdPM/edit?usp=sharing"",""ตราด!I368"")+IMPORTRANGE(""https://docs.google.com/spreadsheets/d/18hSgUJ3VwClqi_qtULmmW3cLr0oe3OKaSYoKzdpTsYQ/edit?usp=sharing"",""นครนายก!I368"")+IMPORTRANGE(""https://docs.google.com/spreadsheets/d/1YTZo6WM2dQ6Ix6FSdnL"&amp;"5P7uVnVKu40sxZu975tgG10E/edit?usp=sharing"",""นครปฐม!I368"")+IMPORTRANGE(""https://docs.google.com/spreadsheets/d/1OYoGg4WDg5RIzwGeB10padOxJF9E_Vljuvvct_M7RDo/edit?usp=sharing"",""ปทุมธานี!I368"")+IMPORTRANGE(""https://docs.google.com/spreadsheets/d/1GbCI"&amp;"E4D4wk9FUozzqk7SxfDMxDVBwVmI5zcaVUSzKAc/edit?usp=sharing"",""ประจวบคีรีขันธ์!I368"")+IMPORTRANGE(""https://docs.google.com/spreadsheets/d/1vVf6wykvW_lAyu7Yo9L4hUTqHqIeP_qcVuxCtosJEbg/edit?usp=sharing"",""ปราจีนบุรี!I368"")+IMPORTRANGE(""https://docs.googl"&amp;"e.com/spreadsheets/d/1BIDqLLg5jk3v59G8NlR8rk5xfQDKne0sAvZHSj7TI6I/edit?usp=sharing"",""พระนครศรีอยุธยา!I368"")+IMPORTRANGE(""https://docs.google.com/spreadsheets/d/1YXvxf8Yu6_rV4hTBrwMqAcAnv6DfhUxh5emyM3CJp_w/edit?usp=sharing"",""เพชรบุรี!I368"")+IMPORTRA"&amp;"NGE(""https://docs.google.com/spreadsheets/d/19KBlQQs7uwvsao6t2n-KvW3Ax8J8uRRfZPq1zPbXgKc/edit?usp=sharing"",""ระยอง!I368"")+IMPORTRANGE(""https://docs.google.com/spreadsheets/d/1jQ6P4QcrGM89YfqcC_PxOHGCMq5ezhucwJd8ci-NHng/edit?usp=sharing"",""ราชบุรี!I36"&amp;"8"")+IMPORTRANGE(""https://docs.google.com/spreadsheets/d/1lufeA2cfFqM-elVq2hznhDzC6Pr7wkJ9ZG_sYNGCMCU/edit?usp=sharing"",""ลพบุรี!I368"")+IMPORTRANGE(""https://docs.google.com/spreadsheets/d/10oOiF7loTyfsTkbd4MpaIm0HQ9SwB7IYHdIUvt-U1Uc/edit?usp=sharing"""&amp;",""สระแก้ว!I368"")+IMPORTRANGE(""https://docs.google.com/spreadsheets/d/1xmPlrr1QbdSIKvl1dWUl9K4PjAfSL9oeMr_37QVzcxc/edit?usp=sharing"",""สระบุรี!I368"")+IMPORTRANGE(""https://docs.google.com/spreadsheets/d/1j51vR6CYVGhABJpv6tkstgok82RLpXieLzW1yOY5rHw/edi"&amp;"t?usp=sharing"",""สิงห์บุรี!I368"")+IMPORTRANGE(""https://docs.google.com/spreadsheets/d/1H1EalTWKUSzO4Z1-1CwzoDUaVffgrThEBe2sl74kKG0/edit?usp=sharing"",""สุพรรณบุรี!I368"")+IMPORTRANGE(""https://docs.google.com/spreadsheets/d/1BmIruG_sIrJLYao_Pdr7zVArWsf"&amp;"oBt2692TMi6x_854/edit?usp=sharing"",""อ่างทอง!I368"")"),17325)</f>
        <v>17325</v>
      </c>
      <c r="J368" s="182">
        <f ca="1">IFERROR(__xludf.DUMMYFUNCTION("IMPORTRANGE(""https://docs.google.com/spreadsheets/d/13wPX838HrBrQMCywv1BsuMkt4PEKTChp52zj44s2izQ/edit?usp=sharing"",""กาญจนบุรี!J368"")+IMPORTRANGE(""https://docs.google.com/spreadsheets/d/1ddFKvqj1W1NEiWytbGlB1zMx_ykJDVtmfEQ-6-lIUBA/edit?usp=sharing"","&amp;"""จันทบุรี!J368"")+IMPORTRANGE(""https://docs.google.com/spreadsheets/d/1T1PQvRODqOBZk8BRht_U031fIS1beLA0Ub2CEytj2q0/edit?usp=sharing"",""ฉะเชิงเทรา!J368"")+IMPORTRANGE(""https://docs.google.com/spreadsheets/d/11tr1B-Bhyr79v2bkwVh5h_fR-PStkgjlZtkrZpYurG0/"&amp;"edit?usp=sharing"",""ชลบุรี!J368"")+IMPORTRANGE(""https://docs.google.com/spreadsheets/d/1hh-FVnSX0vozXhGluamEcS54Dw9_zqW0N7qJUWgJ0Sw/edit?usp=sharing"",""ชัยนาท!J368"")+IMPORTRANGE(""https://docs.google.com/spreadsheets/d/1jkqa6GXxSacMcY1eN8AHjMNJ_7dDXMJ"&amp;"VRLDlaFSOdPM/edit?usp=sharing"",""ตราด!J368"")+IMPORTRANGE(""https://docs.google.com/spreadsheets/d/18hSgUJ3VwClqi_qtULmmW3cLr0oe3OKaSYoKzdpTsYQ/edit?usp=sharing"",""นครนายก!J368"")+IMPORTRANGE(""https://docs.google.com/spreadsheets/d/1YTZo6WM2dQ6Ix6FSdnL"&amp;"5P7uVnVKu40sxZu975tgG10E/edit?usp=sharing"",""นครปฐม!J368"")+IMPORTRANGE(""https://docs.google.com/spreadsheets/d/1OYoGg4WDg5RIzwGeB10padOxJF9E_Vljuvvct_M7RDo/edit?usp=sharing"",""ปทุมธานี!J368"")+IMPORTRANGE(""https://docs.google.com/spreadsheets/d/1GbCI"&amp;"E4D4wk9FUozzqk7SxfDMxDVBwVmI5zcaVUSzKAc/edit?usp=sharing"",""ประจวบคีรีขันธ์!J368"")+IMPORTRANGE(""https://docs.google.com/spreadsheets/d/1vVf6wykvW_lAyu7Yo9L4hUTqHqIeP_qcVuxCtosJEbg/edit?usp=sharing"",""ปราจีนบุรี!J368"")+IMPORTRANGE(""https://docs.googl"&amp;"e.com/spreadsheets/d/1BIDqLLg5jk3v59G8NlR8rk5xfQDKne0sAvZHSj7TI6I/edit?usp=sharing"",""พระนครศรีอยุธยา!J368"")+IMPORTRANGE(""https://docs.google.com/spreadsheets/d/1YXvxf8Yu6_rV4hTBrwMqAcAnv6DfhUxh5emyM3CJp_w/edit?usp=sharing"",""เพชรบุรี!J368"")+IMPORTRA"&amp;"NGE(""https://docs.google.com/spreadsheets/d/19KBlQQs7uwvsao6t2n-KvW3Ax8J8uRRfZPq1zPbXgKc/edit?usp=sharing"",""ระยอง!J368"")+IMPORTRANGE(""https://docs.google.com/spreadsheets/d/1jQ6P4QcrGM89YfqcC_PxOHGCMq5ezhucwJd8ci-NHng/edit?usp=sharing"",""ราชบุรี!J36"&amp;"8"")+IMPORTRANGE(""https://docs.google.com/spreadsheets/d/1lufeA2cfFqM-elVq2hznhDzC6Pr7wkJ9ZG_sYNGCMCU/edit?usp=sharing"",""ลพบุรี!J368"")+IMPORTRANGE(""https://docs.google.com/spreadsheets/d/10oOiF7loTyfsTkbd4MpaIm0HQ9SwB7IYHdIUvt-U1Uc/edit?usp=sharing"""&amp;",""สระแก้ว!J368"")+IMPORTRANGE(""https://docs.google.com/spreadsheets/d/1xmPlrr1QbdSIKvl1dWUl9K4PjAfSL9oeMr_37QVzcxc/edit?usp=sharing"",""สระบุรี!J368"")+IMPORTRANGE(""https://docs.google.com/spreadsheets/d/1j51vR6CYVGhABJpv6tkstgok82RLpXieLzW1yOY5rHw/edi"&amp;"t?usp=sharing"",""สิงห์บุรี!J368"")+IMPORTRANGE(""https://docs.google.com/spreadsheets/d/1H1EalTWKUSzO4Z1-1CwzoDUaVffgrThEBe2sl74kKG0/edit?usp=sharing"",""สุพรรณบุรี!J368"")+IMPORTRANGE(""https://docs.google.com/spreadsheets/d/1BmIruG_sIrJLYao_Pdr7zVArWsf"&amp;"oBt2692TMi6x_854/edit?usp=sharing"",""อ่างทอง!J368"")"),5702.64)</f>
        <v>5702.64</v>
      </c>
      <c r="K368" s="59">
        <f t="shared" ca="1" si="159"/>
        <v>32.915670995670993</v>
      </c>
      <c r="L368" s="165"/>
      <c r="M368" s="165"/>
      <c r="N368" s="165"/>
      <c r="O368" s="165"/>
      <c r="P368" s="165"/>
    </row>
    <row r="369" spans="1:16" ht="18.75" x14ac:dyDescent="0.25">
      <c r="A369" s="167"/>
      <c r="B369" s="174"/>
      <c r="C369" s="168"/>
      <c r="D369" s="174"/>
      <c r="E369" s="173" t="s">
        <v>144</v>
      </c>
      <c r="F369" s="174"/>
      <c r="G369" s="172"/>
      <c r="H369" s="180" t="s">
        <v>33</v>
      </c>
      <c r="I369" s="182">
        <f ca="1">IFERROR(__xludf.DUMMYFUNCTION("IMPORTRANGE(""https://docs.google.com/spreadsheets/d/13wPX838HrBrQMCywv1BsuMkt4PEKTChp52zj44s2izQ/edit?usp=sharing"",""กาญจนบุรี!I369"")+IMPORTRANGE(""https://docs.google.com/spreadsheets/d/1ddFKvqj1W1NEiWytbGlB1zMx_ykJDVtmfEQ-6-lIUBA/edit?usp=sharing"","&amp;"""จันทบุรี!I369"")+IMPORTRANGE(""https://docs.google.com/spreadsheets/d/1T1PQvRODqOBZk8BRht_U031fIS1beLA0Ub2CEytj2q0/edit?usp=sharing"",""ฉะเชิงเทรา!I369"")+IMPORTRANGE(""https://docs.google.com/spreadsheets/d/11tr1B-Bhyr79v2bkwVh5h_fR-PStkgjlZtkrZpYurG0/"&amp;"edit?usp=sharing"",""ชลบุรี!I369"")+IMPORTRANGE(""https://docs.google.com/spreadsheets/d/1hh-FVnSX0vozXhGluamEcS54Dw9_zqW0N7qJUWgJ0Sw/edit?usp=sharing"",""ชัยนาท!I369"")+IMPORTRANGE(""https://docs.google.com/spreadsheets/d/1jkqa6GXxSacMcY1eN8AHjMNJ_7dDXMJ"&amp;"VRLDlaFSOdPM/edit?usp=sharing"",""ตราด!I369"")+IMPORTRANGE(""https://docs.google.com/spreadsheets/d/18hSgUJ3VwClqi_qtULmmW3cLr0oe3OKaSYoKzdpTsYQ/edit?usp=sharing"",""นครนายก!I369"")+IMPORTRANGE(""https://docs.google.com/spreadsheets/d/1YTZo6WM2dQ6Ix6FSdnL"&amp;"5P7uVnVKu40sxZu975tgG10E/edit?usp=sharing"",""นครปฐม!I369"")+IMPORTRANGE(""https://docs.google.com/spreadsheets/d/1OYoGg4WDg5RIzwGeB10padOxJF9E_Vljuvvct_M7RDo/edit?usp=sharing"",""ปทุมธานี!I369"")+IMPORTRANGE(""https://docs.google.com/spreadsheets/d/1GbCI"&amp;"E4D4wk9FUozzqk7SxfDMxDVBwVmI5zcaVUSzKAc/edit?usp=sharing"",""ประจวบคีรีขันธ์!I369"")+IMPORTRANGE(""https://docs.google.com/spreadsheets/d/1vVf6wykvW_lAyu7Yo9L4hUTqHqIeP_qcVuxCtosJEbg/edit?usp=sharing"",""ปราจีนบุรี!I369"")+IMPORTRANGE(""https://docs.googl"&amp;"e.com/spreadsheets/d/1BIDqLLg5jk3v59G8NlR8rk5xfQDKne0sAvZHSj7TI6I/edit?usp=sharing"",""พระนครศรีอยุธยา!I369"")+IMPORTRANGE(""https://docs.google.com/spreadsheets/d/1YXvxf8Yu6_rV4hTBrwMqAcAnv6DfhUxh5emyM3CJp_w/edit?usp=sharing"",""เพชรบุรี!I369"")+IMPORTRA"&amp;"NGE(""https://docs.google.com/spreadsheets/d/19KBlQQs7uwvsao6t2n-KvW3Ax8J8uRRfZPq1zPbXgKc/edit?usp=sharing"",""ระยอง!I369"")+IMPORTRANGE(""https://docs.google.com/spreadsheets/d/1jQ6P4QcrGM89YfqcC_PxOHGCMq5ezhucwJd8ci-NHng/edit?usp=sharing"",""ราชบุรี!I36"&amp;"9"")+IMPORTRANGE(""https://docs.google.com/spreadsheets/d/1lufeA2cfFqM-elVq2hznhDzC6Pr7wkJ9ZG_sYNGCMCU/edit?usp=sharing"",""ลพบุรี!I369"")+IMPORTRANGE(""https://docs.google.com/spreadsheets/d/10oOiF7loTyfsTkbd4MpaIm0HQ9SwB7IYHdIUvt-U1Uc/edit?usp=sharing"""&amp;",""สระแก้ว!I369"")+IMPORTRANGE(""https://docs.google.com/spreadsheets/d/1xmPlrr1QbdSIKvl1dWUl9K4PjAfSL9oeMr_37QVzcxc/edit?usp=sharing"",""สระบุรี!I369"")+IMPORTRANGE(""https://docs.google.com/spreadsheets/d/1j51vR6CYVGhABJpv6tkstgok82RLpXieLzW1yOY5rHw/edi"&amp;"t?usp=sharing"",""สิงห์บุรี!I369"")+IMPORTRANGE(""https://docs.google.com/spreadsheets/d/1H1EalTWKUSzO4Z1-1CwzoDUaVffgrThEBe2sl74kKG0/edit?usp=sharing"",""สุพรรณบุรี!I369"")+IMPORTRANGE(""https://docs.google.com/spreadsheets/d/1BmIruG_sIrJLYao_Pdr7zVArWsf"&amp;"oBt2692TMi6x_854/edit?usp=sharing"",""อ่างทอง!I369"")"),2680)</f>
        <v>2680</v>
      </c>
      <c r="J369" s="182">
        <f ca="1">IFERROR(__xludf.DUMMYFUNCTION("IMPORTRANGE(""https://docs.google.com/spreadsheets/d/13wPX838HrBrQMCywv1BsuMkt4PEKTChp52zj44s2izQ/edit?usp=sharing"",""กาญจนบุรี!J369"")+IMPORTRANGE(""https://docs.google.com/spreadsheets/d/1ddFKvqj1W1NEiWytbGlB1zMx_ykJDVtmfEQ-6-lIUBA/edit?usp=sharing"","&amp;"""จันทบุรี!J369"")+IMPORTRANGE(""https://docs.google.com/spreadsheets/d/1T1PQvRODqOBZk8BRht_U031fIS1beLA0Ub2CEytj2q0/edit?usp=sharing"",""ฉะเชิงเทรา!J369"")+IMPORTRANGE(""https://docs.google.com/spreadsheets/d/11tr1B-Bhyr79v2bkwVh5h_fR-PStkgjlZtkrZpYurG0/"&amp;"edit?usp=sharing"",""ชลบุรี!J369"")+IMPORTRANGE(""https://docs.google.com/spreadsheets/d/1hh-FVnSX0vozXhGluamEcS54Dw9_zqW0N7qJUWgJ0Sw/edit?usp=sharing"",""ชัยนาท!J369"")+IMPORTRANGE(""https://docs.google.com/spreadsheets/d/1jkqa6GXxSacMcY1eN8AHjMNJ_7dDXMJ"&amp;"VRLDlaFSOdPM/edit?usp=sharing"",""ตราด!J369"")+IMPORTRANGE(""https://docs.google.com/spreadsheets/d/18hSgUJ3VwClqi_qtULmmW3cLr0oe3OKaSYoKzdpTsYQ/edit?usp=sharing"",""นครนายก!J369"")+IMPORTRANGE(""https://docs.google.com/spreadsheets/d/1YTZo6WM2dQ6Ix6FSdnL"&amp;"5P7uVnVKu40sxZu975tgG10E/edit?usp=sharing"",""นครปฐม!J369"")+IMPORTRANGE(""https://docs.google.com/spreadsheets/d/1OYoGg4WDg5RIzwGeB10padOxJF9E_Vljuvvct_M7RDo/edit?usp=sharing"",""ปทุมธานี!J369"")+IMPORTRANGE(""https://docs.google.com/spreadsheets/d/1GbCI"&amp;"E4D4wk9FUozzqk7SxfDMxDVBwVmI5zcaVUSzKAc/edit?usp=sharing"",""ประจวบคีรีขันธ์!J369"")+IMPORTRANGE(""https://docs.google.com/spreadsheets/d/1vVf6wykvW_lAyu7Yo9L4hUTqHqIeP_qcVuxCtosJEbg/edit?usp=sharing"",""ปราจีนบุรี!J369"")+IMPORTRANGE(""https://docs.googl"&amp;"e.com/spreadsheets/d/1BIDqLLg5jk3v59G8NlR8rk5xfQDKne0sAvZHSj7TI6I/edit?usp=sharing"",""พระนครศรีอยุธยา!J369"")+IMPORTRANGE(""https://docs.google.com/spreadsheets/d/1YXvxf8Yu6_rV4hTBrwMqAcAnv6DfhUxh5emyM3CJp_w/edit?usp=sharing"",""เพชรบุรี!J369"")+IMPORTRA"&amp;"NGE(""https://docs.google.com/spreadsheets/d/19KBlQQs7uwvsao6t2n-KvW3Ax8J8uRRfZPq1zPbXgKc/edit?usp=sharing"",""ระยอง!J369"")+IMPORTRANGE(""https://docs.google.com/spreadsheets/d/1jQ6P4QcrGM89YfqcC_PxOHGCMq5ezhucwJd8ci-NHng/edit?usp=sharing"",""ราชบุรี!J36"&amp;"9"")+IMPORTRANGE(""https://docs.google.com/spreadsheets/d/1lufeA2cfFqM-elVq2hznhDzC6Pr7wkJ9ZG_sYNGCMCU/edit?usp=sharing"",""ลพบุรี!J369"")+IMPORTRANGE(""https://docs.google.com/spreadsheets/d/10oOiF7loTyfsTkbd4MpaIm0HQ9SwB7IYHdIUvt-U1Uc/edit?usp=sharing"""&amp;",""สระแก้ว!J369"")+IMPORTRANGE(""https://docs.google.com/spreadsheets/d/1xmPlrr1QbdSIKvl1dWUl9K4PjAfSL9oeMr_37QVzcxc/edit?usp=sharing"",""สระบุรี!J369"")+IMPORTRANGE(""https://docs.google.com/spreadsheets/d/1j51vR6CYVGhABJpv6tkstgok82RLpXieLzW1yOY5rHw/edi"&amp;"t?usp=sharing"",""สิงห์บุรี!J369"")+IMPORTRANGE(""https://docs.google.com/spreadsheets/d/1H1EalTWKUSzO4Z1-1CwzoDUaVffgrThEBe2sl74kKG0/edit?usp=sharing"",""สุพรรณบุรี!J369"")+IMPORTRANGE(""https://docs.google.com/spreadsheets/d/1BmIruG_sIrJLYao_Pdr7zVArWsf"&amp;"oBt2692TMi6x_854/edit?usp=sharing"",""อ่างทอง!J369"")"),569)</f>
        <v>569</v>
      </c>
      <c r="K369" s="59">
        <f t="shared" ca="1" si="159"/>
        <v>21.231343283582088</v>
      </c>
      <c r="L369" s="165"/>
      <c r="M369" s="165"/>
      <c r="N369" s="165"/>
      <c r="O369" s="165"/>
      <c r="P369" s="165"/>
    </row>
    <row r="370" spans="1:16" ht="18.75" x14ac:dyDescent="0.25">
      <c r="A370" s="167"/>
      <c r="B370" s="174"/>
      <c r="C370" s="168"/>
      <c r="D370" s="174"/>
      <c r="E370" s="174"/>
      <c r="F370" s="174"/>
      <c r="G370" s="172"/>
      <c r="H370" s="180" t="s">
        <v>44</v>
      </c>
      <c r="I370" s="196">
        <v>0</v>
      </c>
      <c r="J370" s="182">
        <f ca="1">IFERROR(__xludf.DUMMYFUNCTION("IMPORTRANGE(""https://docs.google.com/spreadsheets/d/13wPX838HrBrQMCywv1BsuMkt4PEKTChp52zj44s2izQ/edit?usp=sharing"",""กาญจนบุรี!J370"")+IMPORTRANGE(""https://docs.google.com/spreadsheets/d/1ddFKvqj1W1NEiWytbGlB1zMx_ykJDVtmfEQ-6-lIUBA/edit?usp=sharing"","&amp;"""จันทบุรี!J370"")+IMPORTRANGE(""https://docs.google.com/spreadsheets/d/1T1PQvRODqOBZk8BRht_U031fIS1beLA0Ub2CEytj2q0/edit?usp=sharing"",""ฉะเชิงเทรา!J370"")+IMPORTRANGE(""https://docs.google.com/spreadsheets/d/11tr1B-Bhyr79v2bkwVh5h_fR-PStkgjlZtkrZpYurG0/"&amp;"edit?usp=sharing"",""ชลบุรี!J370"")+IMPORTRANGE(""https://docs.google.com/spreadsheets/d/1hh-FVnSX0vozXhGluamEcS54Dw9_zqW0N7qJUWgJ0Sw/edit?usp=sharing"",""ชัยนาท!J370"")+IMPORTRANGE(""https://docs.google.com/spreadsheets/d/1jkqa6GXxSacMcY1eN8AHjMNJ_7dDXMJ"&amp;"VRLDlaFSOdPM/edit?usp=sharing"",""ตราด!J370"")+IMPORTRANGE(""https://docs.google.com/spreadsheets/d/18hSgUJ3VwClqi_qtULmmW3cLr0oe3OKaSYoKzdpTsYQ/edit?usp=sharing"",""นครนายก!J370"")+IMPORTRANGE(""https://docs.google.com/spreadsheets/d/1YTZo6WM2dQ6Ix6FSdnL"&amp;"5P7uVnVKu40sxZu975tgG10E/edit?usp=sharing"",""นครปฐม!J370"")+IMPORTRANGE(""https://docs.google.com/spreadsheets/d/1OYoGg4WDg5RIzwGeB10padOxJF9E_Vljuvvct_M7RDo/edit?usp=sharing"",""ปทุมธานี!J370"")+IMPORTRANGE(""https://docs.google.com/spreadsheets/d/1GbCI"&amp;"E4D4wk9FUozzqk7SxfDMxDVBwVmI5zcaVUSzKAc/edit?usp=sharing"",""ประจวบคีรีขันธ์!J370"")+IMPORTRANGE(""https://docs.google.com/spreadsheets/d/1vVf6wykvW_lAyu7Yo9L4hUTqHqIeP_qcVuxCtosJEbg/edit?usp=sharing"",""ปราจีนบุรี!J370"")+IMPORTRANGE(""https://docs.googl"&amp;"e.com/spreadsheets/d/1BIDqLLg5jk3v59G8NlR8rk5xfQDKne0sAvZHSj7TI6I/edit?usp=sharing"",""พระนครศรีอยุธยา!J370"")+IMPORTRANGE(""https://docs.google.com/spreadsheets/d/1YXvxf8Yu6_rV4hTBrwMqAcAnv6DfhUxh5emyM3CJp_w/edit?usp=sharing"",""เพชรบุรี!J370"")+IMPORTRA"&amp;"NGE(""https://docs.google.com/spreadsheets/d/19KBlQQs7uwvsao6t2n-KvW3Ax8J8uRRfZPq1zPbXgKc/edit?usp=sharing"",""ระยอง!J370"")+IMPORTRANGE(""https://docs.google.com/spreadsheets/d/1jQ6P4QcrGM89YfqcC_PxOHGCMq5ezhucwJd8ci-NHng/edit?usp=sharing"",""ราชบุรี!J37"&amp;"0"")+IMPORTRANGE(""https://docs.google.com/spreadsheets/d/1lufeA2cfFqM-elVq2hznhDzC6Pr7wkJ9ZG_sYNGCMCU/edit?usp=sharing"",""ลพบุรี!J370"")+IMPORTRANGE(""https://docs.google.com/spreadsheets/d/10oOiF7loTyfsTkbd4MpaIm0HQ9SwB7IYHdIUvt-U1Uc/edit?usp=sharing"""&amp;",""สระแก้ว!J370"")+IMPORTRANGE(""https://docs.google.com/spreadsheets/d/1xmPlrr1QbdSIKvl1dWUl9K4PjAfSL9oeMr_37QVzcxc/edit?usp=sharing"",""สระบุรี!J370"")+IMPORTRANGE(""https://docs.google.com/spreadsheets/d/1j51vR6CYVGhABJpv6tkstgok82RLpXieLzW1yOY5rHw/edi"&amp;"t?usp=sharing"",""สิงห์บุรี!J370"")+IMPORTRANGE(""https://docs.google.com/spreadsheets/d/1H1EalTWKUSzO4Z1-1CwzoDUaVffgrThEBe2sl74kKG0/edit?usp=sharing"",""สุพรรณบุรี!J370"")+IMPORTRANGE(""https://docs.google.com/spreadsheets/d/1BmIruG_sIrJLYao_Pdr7zVArWsf"&amp;"oBt2692TMi6x_854/edit?usp=sharing"",""อ่างทอง!J370"")"),8129.58999999999)</f>
        <v>8129.5899999999901</v>
      </c>
      <c r="K370" s="59">
        <f t="shared" si="159"/>
        <v>0</v>
      </c>
      <c r="L370" s="165"/>
      <c r="M370" s="165"/>
      <c r="N370" s="165"/>
      <c r="O370" s="165"/>
      <c r="P370" s="165"/>
    </row>
    <row r="371" spans="1:16" ht="18.75" x14ac:dyDescent="0.25">
      <c r="A371" s="167"/>
      <c r="B371" s="174"/>
      <c r="C371" s="168"/>
      <c r="D371" s="174"/>
      <c r="E371" s="449" t="s">
        <v>145</v>
      </c>
      <c r="F371" s="174"/>
      <c r="G371" s="172"/>
      <c r="H371" s="180" t="s">
        <v>33</v>
      </c>
      <c r="I371" s="182">
        <f ca="1">IFERROR(__xludf.DUMMYFUNCTION("IMPORTRANGE(""https://docs.google.com/spreadsheets/d/13wPX838HrBrQMCywv1BsuMkt4PEKTChp52zj44s2izQ/edit?usp=sharing"",""กาญจนบุรี!I371"")+IMPORTRANGE(""https://docs.google.com/spreadsheets/d/1ddFKvqj1W1NEiWytbGlB1zMx_ykJDVtmfEQ-6-lIUBA/edit?usp=sharing"","&amp;"""จันทบุรี!I371"")+IMPORTRANGE(""https://docs.google.com/spreadsheets/d/1T1PQvRODqOBZk8BRht_U031fIS1beLA0Ub2CEytj2q0/edit?usp=sharing"",""ฉะเชิงเทรา!I371"")+IMPORTRANGE(""https://docs.google.com/spreadsheets/d/11tr1B-Bhyr79v2bkwVh5h_fR-PStkgjlZtkrZpYurG0/"&amp;"edit?usp=sharing"",""ชลบุรี!I371"")+IMPORTRANGE(""https://docs.google.com/spreadsheets/d/1hh-FVnSX0vozXhGluamEcS54Dw9_zqW0N7qJUWgJ0Sw/edit?usp=sharing"",""ชัยนาท!I371"")+IMPORTRANGE(""https://docs.google.com/spreadsheets/d/1jkqa6GXxSacMcY1eN8AHjMNJ_7dDXMJ"&amp;"VRLDlaFSOdPM/edit?usp=sharing"",""ตราด!I371"")+IMPORTRANGE(""https://docs.google.com/spreadsheets/d/18hSgUJ3VwClqi_qtULmmW3cLr0oe3OKaSYoKzdpTsYQ/edit?usp=sharing"",""นครนายก!I371"")+IMPORTRANGE(""https://docs.google.com/spreadsheets/d/1YTZo6WM2dQ6Ix6FSdnL"&amp;"5P7uVnVKu40sxZu975tgG10E/edit?usp=sharing"",""นครปฐม!I371"")+IMPORTRANGE(""https://docs.google.com/spreadsheets/d/1OYoGg4WDg5RIzwGeB10padOxJF9E_Vljuvvct_M7RDo/edit?usp=sharing"",""ปทุมธานี!I371"")+IMPORTRANGE(""https://docs.google.com/spreadsheets/d/1GbCI"&amp;"E4D4wk9FUozzqk7SxfDMxDVBwVmI5zcaVUSzKAc/edit?usp=sharing"",""ประจวบคีรีขันธ์!I371"")+IMPORTRANGE(""https://docs.google.com/spreadsheets/d/1vVf6wykvW_lAyu7Yo9L4hUTqHqIeP_qcVuxCtosJEbg/edit?usp=sharing"",""ปราจีนบุรี!I371"")+IMPORTRANGE(""https://docs.googl"&amp;"e.com/spreadsheets/d/1BIDqLLg5jk3v59G8NlR8rk5xfQDKne0sAvZHSj7TI6I/edit?usp=sharing"",""พระนครศรีอยุธยา!I371"")+IMPORTRANGE(""https://docs.google.com/spreadsheets/d/1YXvxf8Yu6_rV4hTBrwMqAcAnv6DfhUxh5emyM3CJp_w/edit?usp=sharing"",""เพชรบุรี!I371"")+IMPORTRA"&amp;"NGE(""https://docs.google.com/spreadsheets/d/19KBlQQs7uwvsao6t2n-KvW3Ax8J8uRRfZPq1zPbXgKc/edit?usp=sharing"",""ระยอง!I371"")+IMPORTRANGE(""https://docs.google.com/spreadsheets/d/1jQ6P4QcrGM89YfqcC_PxOHGCMq5ezhucwJd8ci-NHng/edit?usp=sharing"",""ราชบุรี!I37"&amp;"1"")+IMPORTRANGE(""https://docs.google.com/spreadsheets/d/1lufeA2cfFqM-elVq2hznhDzC6Pr7wkJ9ZG_sYNGCMCU/edit?usp=sharing"",""ลพบุรี!I371"")+IMPORTRANGE(""https://docs.google.com/spreadsheets/d/10oOiF7loTyfsTkbd4MpaIm0HQ9SwB7IYHdIUvt-U1Uc/edit?usp=sharing"""&amp;",""สระแก้ว!I371"")+IMPORTRANGE(""https://docs.google.com/spreadsheets/d/1xmPlrr1QbdSIKvl1dWUl9K4PjAfSL9oeMr_37QVzcxc/edit?usp=sharing"",""สระบุรี!I371"")+IMPORTRANGE(""https://docs.google.com/spreadsheets/d/1j51vR6CYVGhABJpv6tkstgok82RLpXieLzW1yOY5rHw/edi"&amp;"t?usp=sharing"",""สิงห์บุรี!I371"")+IMPORTRANGE(""https://docs.google.com/spreadsheets/d/1H1EalTWKUSzO4Z1-1CwzoDUaVffgrThEBe2sl74kKG0/edit?usp=sharing"",""สุพรรณบุรี!I371"")+IMPORTRANGE(""https://docs.google.com/spreadsheets/d/1BmIruG_sIrJLYao_Pdr7zVArWsf"&amp;"oBt2692TMi6x_854/edit?usp=sharing"",""อ่างทอง!I371"")"),1810)</f>
        <v>1810</v>
      </c>
      <c r="J371" s="182">
        <f ca="1">IFERROR(__xludf.DUMMYFUNCTION("IMPORTRANGE(""https://docs.google.com/spreadsheets/d/13wPX838HrBrQMCywv1BsuMkt4PEKTChp52zj44s2izQ/edit?usp=sharing"",""กาญจนบุรี!J371"")+IMPORTRANGE(""https://docs.google.com/spreadsheets/d/1ddFKvqj1W1NEiWytbGlB1zMx_ykJDVtmfEQ-6-lIUBA/edit?usp=sharing"","&amp;"""จันทบุรี!J371"")+IMPORTRANGE(""https://docs.google.com/spreadsheets/d/1T1PQvRODqOBZk8BRht_U031fIS1beLA0Ub2CEytj2q0/edit?usp=sharing"",""ฉะเชิงเทรา!J371"")+IMPORTRANGE(""https://docs.google.com/spreadsheets/d/11tr1B-Bhyr79v2bkwVh5h_fR-PStkgjlZtkrZpYurG0/"&amp;"edit?usp=sharing"",""ชลบุรี!J371"")+IMPORTRANGE(""https://docs.google.com/spreadsheets/d/1hh-FVnSX0vozXhGluamEcS54Dw9_zqW0N7qJUWgJ0Sw/edit?usp=sharing"",""ชัยนาท!J371"")+IMPORTRANGE(""https://docs.google.com/spreadsheets/d/1jkqa6GXxSacMcY1eN8AHjMNJ_7dDXMJ"&amp;"VRLDlaFSOdPM/edit?usp=sharing"",""ตราด!J371"")+IMPORTRANGE(""https://docs.google.com/spreadsheets/d/18hSgUJ3VwClqi_qtULmmW3cLr0oe3OKaSYoKzdpTsYQ/edit?usp=sharing"",""นครนายก!J371"")+IMPORTRANGE(""https://docs.google.com/spreadsheets/d/1YTZo6WM2dQ6Ix6FSdnL"&amp;"5P7uVnVKu40sxZu975tgG10E/edit?usp=sharing"",""นครปฐม!J371"")+IMPORTRANGE(""https://docs.google.com/spreadsheets/d/1OYoGg4WDg5RIzwGeB10padOxJF9E_Vljuvvct_M7RDo/edit?usp=sharing"",""ปทุมธานี!J371"")+IMPORTRANGE(""https://docs.google.com/spreadsheets/d/1GbCI"&amp;"E4D4wk9FUozzqk7SxfDMxDVBwVmI5zcaVUSzKAc/edit?usp=sharing"",""ประจวบคีรีขันธ์!J371"")+IMPORTRANGE(""https://docs.google.com/spreadsheets/d/1vVf6wykvW_lAyu7Yo9L4hUTqHqIeP_qcVuxCtosJEbg/edit?usp=sharing"",""ปราจีนบุรี!J371"")+IMPORTRANGE(""https://docs.googl"&amp;"e.com/spreadsheets/d/1BIDqLLg5jk3v59G8NlR8rk5xfQDKne0sAvZHSj7TI6I/edit?usp=sharing"",""พระนครศรีอยุธยา!J371"")+IMPORTRANGE(""https://docs.google.com/spreadsheets/d/1YXvxf8Yu6_rV4hTBrwMqAcAnv6DfhUxh5emyM3CJp_w/edit?usp=sharing"",""เพชรบุรี!J371"")+IMPORTRA"&amp;"NGE(""https://docs.google.com/spreadsheets/d/19KBlQQs7uwvsao6t2n-KvW3Ax8J8uRRfZPq1zPbXgKc/edit?usp=sharing"",""ระยอง!J371"")+IMPORTRANGE(""https://docs.google.com/spreadsheets/d/1jQ6P4QcrGM89YfqcC_PxOHGCMq5ezhucwJd8ci-NHng/edit?usp=sharing"",""ราชบุรี!J37"&amp;"1"")+IMPORTRANGE(""https://docs.google.com/spreadsheets/d/1lufeA2cfFqM-elVq2hznhDzC6Pr7wkJ9ZG_sYNGCMCU/edit?usp=sharing"",""ลพบุรี!J371"")+IMPORTRANGE(""https://docs.google.com/spreadsheets/d/10oOiF7loTyfsTkbd4MpaIm0HQ9SwB7IYHdIUvt-U1Uc/edit?usp=sharing"""&amp;",""สระแก้ว!J371"")+IMPORTRANGE(""https://docs.google.com/spreadsheets/d/1xmPlrr1QbdSIKvl1dWUl9K4PjAfSL9oeMr_37QVzcxc/edit?usp=sharing"",""สระบุรี!J371"")+IMPORTRANGE(""https://docs.google.com/spreadsheets/d/1j51vR6CYVGhABJpv6tkstgok82RLpXieLzW1yOY5rHw/edi"&amp;"t?usp=sharing"",""สิงห์บุรี!J371"")+IMPORTRANGE(""https://docs.google.com/spreadsheets/d/1H1EalTWKUSzO4Z1-1CwzoDUaVffgrThEBe2sl74kKG0/edit?usp=sharing"",""สุพรรณบุรี!J371"")+IMPORTRANGE(""https://docs.google.com/spreadsheets/d/1BmIruG_sIrJLYao_Pdr7zVArWsf"&amp;"oBt2692TMi6x_854/edit?usp=sharing"",""อ่างทอง!J371"")"),357)</f>
        <v>357</v>
      </c>
      <c r="K371" s="59">
        <f t="shared" ca="1" si="159"/>
        <v>19.723756906077348</v>
      </c>
      <c r="L371" s="165"/>
      <c r="M371" s="165"/>
      <c r="N371" s="165"/>
      <c r="O371" s="165"/>
      <c r="P371" s="165"/>
    </row>
    <row r="372" spans="1:16" ht="18.75" x14ac:dyDescent="0.25">
      <c r="A372" s="450"/>
      <c r="B372" s="343"/>
      <c r="C372" s="341"/>
      <c r="D372" s="343"/>
      <c r="E372" s="343"/>
      <c r="F372" s="343"/>
      <c r="G372" s="344"/>
      <c r="H372" s="451" t="s">
        <v>44</v>
      </c>
      <c r="I372" s="345">
        <v>0</v>
      </c>
      <c r="J372" s="256">
        <f ca="1">IFERROR(__xludf.DUMMYFUNCTION("IMPORTRANGE(""https://docs.google.com/spreadsheets/d/13wPX838HrBrQMCywv1BsuMkt4PEKTChp52zj44s2izQ/edit?usp=sharing"",""กาญจนบุรี!J372"")+IMPORTRANGE(""https://docs.google.com/spreadsheets/d/1ddFKvqj1W1NEiWytbGlB1zMx_ykJDVtmfEQ-6-lIUBA/edit?usp=sharing"","&amp;"""จันทบุรี!J372"")+IMPORTRANGE(""https://docs.google.com/spreadsheets/d/1T1PQvRODqOBZk8BRht_U031fIS1beLA0Ub2CEytj2q0/edit?usp=sharing"",""ฉะเชิงเทรา!J372"")+IMPORTRANGE(""https://docs.google.com/spreadsheets/d/11tr1B-Bhyr79v2bkwVh5h_fR-PStkgjlZtkrZpYurG0/"&amp;"edit?usp=sharing"",""ชลบุรี!J372"")+IMPORTRANGE(""https://docs.google.com/spreadsheets/d/1hh-FVnSX0vozXhGluamEcS54Dw9_zqW0N7qJUWgJ0Sw/edit?usp=sharing"",""ชัยนาท!J372"")+IMPORTRANGE(""https://docs.google.com/spreadsheets/d/1jkqa6GXxSacMcY1eN8AHjMNJ_7dDXMJ"&amp;"VRLDlaFSOdPM/edit?usp=sharing"",""ตราด!J372"")+IMPORTRANGE(""https://docs.google.com/spreadsheets/d/18hSgUJ3VwClqi_qtULmmW3cLr0oe3OKaSYoKzdpTsYQ/edit?usp=sharing"",""นครนายก!J372"")+IMPORTRANGE(""https://docs.google.com/spreadsheets/d/1YTZo6WM2dQ6Ix6FSdnL"&amp;"5P7uVnVKu40sxZu975tgG10E/edit?usp=sharing"",""นครปฐม!J372"")+IMPORTRANGE(""https://docs.google.com/spreadsheets/d/1OYoGg4WDg5RIzwGeB10padOxJF9E_Vljuvvct_M7RDo/edit?usp=sharing"",""ปทุมธานี!J372"")+IMPORTRANGE(""https://docs.google.com/spreadsheets/d/1GbCI"&amp;"E4D4wk9FUozzqk7SxfDMxDVBwVmI5zcaVUSzKAc/edit?usp=sharing"",""ประจวบคีรีขันธ์!J372"")+IMPORTRANGE(""https://docs.google.com/spreadsheets/d/1vVf6wykvW_lAyu7Yo9L4hUTqHqIeP_qcVuxCtosJEbg/edit?usp=sharing"",""ปราจีนบุรี!J372"")+IMPORTRANGE(""https://docs.googl"&amp;"e.com/spreadsheets/d/1BIDqLLg5jk3v59G8NlR8rk5xfQDKne0sAvZHSj7TI6I/edit?usp=sharing"",""พระนครศรีอยุธยา!J372"")+IMPORTRANGE(""https://docs.google.com/spreadsheets/d/1YXvxf8Yu6_rV4hTBrwMqAcAnv6DfhUxh5emyM3CJp_w/edit?usp=sharing"",""เพชรบุรี!J372"")+IMPORTRA"&amp;"NGE(""https://docs.google.com/spreadsheets/d/19KBlQQs7uwvsao6t2n-KvW3Ax8J8uRRfZPq1zPbXgKc/edit?usp=sharing"",""ระยอง!J372"")+IMPORTRANGE(""https://docs.google.com/spreadsheets/d/1jQ6P4QcrGM89YfqcC_PxOHGCMq5ezhucwJd8ci-NHng/edit?usp=sharing"",""ราชบุรี!J37"&amp;"2"")+IMPORTRANGE(""https://docs.google.com/spreadsheets/d/1lufeA2cfFqM-elVq2hznhDzC6Pr7wkJ9ZG_sYNGCMCU/edit?usp=sharing"",""ลพบุรี!J372"")+IMPORTRANGE(""https://docs.google.com/spreadsheets/d/10oOiF7loTyfsTkbd4MpaIm0HQ9SwB7IYHdIUvt-U1Uc/edit?usp=sharing"""&amp;",""สระแก้ว!J372"")+IMPORTRANGE(""https://docs.google.com/spreadsheets/d/1xmPlrr1QbdSIKvl1dWUl9K4PjAfSL9oeMr_37QVzcxc/edit?usp=sharing"",""สระบุรี!J372"")+IMPORTRANGE(""https://docs.google.com/spreadsheets/d/1j51vR6CYVGhABJpv6tkstgok82RLpXieLzW1yOY5rHw/edi"&amp;"t?usp=sharing"",""สิงห์บุรี!J372"")+IMPORTRANGE(""https://docs.google.com/spreadsheets/d/1H1EalTWKUSzO4Z1-1CwzoDUaVffgrThEBe2sl74kKG0/edit?usp=sharing"",""สุพรรณบุรี!J372"")+IMPORTRANGE(""https://docs.google.com/spreadsheets/d/1BmIruG_sIrJLYao_Pdr7zVArWsf"&amp;"oBt2692TMi6x_854/edit?usp=sharing"",""อ่างทอง!J372"")"),5375.28)</f>
        <v>5375.28</v>
      </c>
      <c r="K372" s="139">
        <f t="shared" si="159"/>
        <v>0</v>
      </c>
      <c r="L372" s="347"/>
      <c r="M372" s="347"/>
      <c r="N372" s="347"/>
      <c r="O372" s="347"/>
      <c r="P372" s="347"/>
    </row>
    <row r="373" spans="1:16" ht="19.5" x14ac:dyDescent="0.3">
      <c r="A373" s="452"/>
      <c r="B373" s="453"/>
      <c r="C373" s="454"/>
      <c r="D373" s="4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456"/>
      <c r="F373" s="456"/>
      <c r="G373" s="456"/>
      <c r="H373" s="457"/>
      <c r="I373" s="458"/>
      <c r="J373" s="458"/>
      <c r="K373" s="459"/>
      <c r="L373" s="459"/>
      <c r="M373" s="459"/>
      <c r="N373" s="459"/>
      <c r="O373" s="459"/>
      <c r="P373" s="459"/>
    </row>
    <row r="374" spans="1:16" ht="19.5" x14ac:dyDescent="0.3">
      <c r="A374" s="460" t="s">
        <v>146</v>
      </c>
      <c r="B374" s="461"/>
      <c r="C374" s="461"/>
      <c r="D374" s="461"/>
      <c r="E374" s="462"/>
      <c r="F374" s="462"/>
      <c r="G374" s="462"/>
      <c r="H374" s="462"/>
      <c r="I374" s="463"/>
      <c r="J374" s="463"/>
      <c r="K374" s="464"/>
      <c r="L374" s="464"/>
      <c r="M374" s="464"/>
      <c r="N374" s="464"/>
      <c r="O374" s="464"/>
      <c r="P374" s="465"/>
    </row>
    <row r="375" spans="1:16" ht="19.5" x14ac:dyDescent="0.3">
      <c r="A375" s="466" t="s">
        <v>147</v>
      </c>
      <c r="B375" s="467"/>
      <c r="C375" s="467"/>
      <c r="D375" s="468"/>
      <c r="E375" s="467"/>
      <c r="F375" s="467"/>
      <c r="G375" s="467"/>
      <c r="H375" s="469"/>
      <c r="I375" s="470"/>
      <c r="J375" s="470"/>
      <c r="K375" s="471"/>
      <c r="L375" s="471"/>
      <c r="M375" s="471"/>
      <c r="N375" s="471"/>
      <c r="O375" s="471"/>
      <c r="P375" s="471"/>
    </row>
    <row r="376" spans="1:16" ht="19.5" x14ac:dyDescent="0.3">
      <c r="A376" s="472"/>
      <c r="B376" s="473" t="s">
        <v>148</v>
      </c>
      <c r="C376" s="474"/>
      <c r="D376" s="475"/>
      <c r="E376" s="475"/>
      <c r="F376" s="475"/>
      <c r="G376" s="476"/>
      <c r="H376" s="477" t="s">
        <v>54</v>
      </c>
      <c r="I376" s="478">
        <f t="shared" ref="I376:J376" si="160">I388</f>
        <v>0</v>
      </c>
      <c r="J376" s="478">
        <f t="shared" si="160"/>
        <v>0</v>
      </c>
      <c r="K376" s="479">
        <f>IF(I376&gt;0,J376*100/I376,0)</f>
        <v>0</v>
      </c>
      <c r="L376" s="480"/>
      <c r="M376" s="480"/>
      <c r="N376" s="480"/>
      <c r="O376" s="480"/>
      <c r="P376" s="480"/>
    </row>
    <row r="377" spans="1:16" ht="19.5" x14ac:dyDescent="0.3">
      <c r="A377" s="157"/>
      <c r="B377" s="53"/>
      <c r="C377" s="158" t="s">
        <v>16</v>
      </c>
      <c r="D377" s="159" t="s">
        <v>17</v>
      </c>
      <c r="E377" s="53"/>
      <c r="F377" s="53"/>
      <c r="G377" s="55"/>
      <c r="H377" s="160" t="s">
        <v>12</v>
      </c>
      <c r="I377" s="57"/>
      <c r="J377" s="57"/>
      <c r="K377" s="58"/>
      <c r="L377" s="161">
        <f t="shared" ref="L377:N377" ca="1" si="161">L378+L379</f>
        <v>0</v>
      </c>
      <c r="M377" s="161">
        <f t="shared" ca="1" si="161"/>
        <v>0</v>
      </c>
      <c r="N377" s="161">
        <f t="shared" ca="1" si="161"/>
        <v>0</v>
      </c>
      <c r="O377" s="161">
        <f t="shared" ref="O377:O385" ca="1" si="162">IF(L377&gt;0,N377*100/L377,0)</f>
        <v>0</v>
      </c>
      <c r="P377" s="161">
        <f t="shared" ref="P377:P385" ca="1" si="163">IF(M377&gt;0,N377*100/M377,0)</f>
        <v>0</v>
      </c>
    </row>
    <row r="378" spans="1:16" ht="18.75" x14ac:dyDescent="0.25">
      <c r="A378" s="157"/>
      <c r="B378" s="53"/>
      <c r="C378" s="53"/>
      <c r="D378" s="53"/>
      <c r="E378" s="60" t="s">
        <v>18</v>
      </c>
      <c r="F378" s="53"/>
      <c r="G378" s="55"/>
      <c r="H378" s="162" t="s">
        <v>12</v>
      </c>
      <c r="I378" s="57"/>
      <c r="J378" s="57"/>
      <c r="K378" s="58"/>
      <c r="L378" s="59">
        <f t="shared" ref="L378:N378" ca="1" si="164">L381+L384</f>
        <v>0</v>
      </c>
      <c r="M378" s="59">
        <f t="shared" ca="1" si="164"/>
        <v>0</v>
      </c>
      <c r="N378" s="59">
        <f t="shared" ca="1" si="164"/>
        <v>0</v>
      </c>
      <c r="O378" s="59">
        <f t="shared" ca="1" si="162"/>
        <v>0</v>
      </c>
      <c r="P378" s="59">
        <f t="shared" ca="1" si="163"/>
        <v>0</v>
      </c>
    </row>
    <row r="379" spans="1:16" ht="18.75" x14ac:dyDescent="0.25">
      <c r="A379" s="157"/>
      <c r="B379" s="53"/>
      <c r="C379" s="53"/>
      <c r="D379" s="53"/>
      <c r="E379" s="60" t="s">
        <v>19</v>
      </c>
      <c r="F379" s="53"/>
      <c r="G379" s="55"/>
      <c r="H379" s="162" t="s">
        <v>12</v>
      </c>
      <c r="I379" s="57"/>
      <c r="J379" s="57"/>
      <c r="K379" s="58"/>
      <c r="L379" s="59">
        <f t="shared" ref="L379:N379" ca="1" si="165">L382+L385</f>
        <v>0</v>
      </c>
      <c r="M379" s="59">
        <f t="shared" ca="1" si="165"/>
        <v>0</v>
      </c>
      <c r="N379" s="59">
        <f t="shared" ca="1" si="165"/>
        <v>0</v>
      </c>
      <c r="O379" s="59">
        <f t="shared" ca="1" si="162"/>
        <v>0</v>
      </c>
      <c r="P379" s="59">
        <f t="shared" ca="1" si="163"/>
        <v>0</v>
      </c>
    </row>
    <row r="380" spans="1:16" ht="18.75" x14ac:dyDescent="0.25">
      <c r="A380" s="157"/>
      <c r="B380" s="53"/>
      <c r="C380" s="53"/>
      <c r="D380" s="54" t="s">
        <v>20</v>
      </c>
      <c r="E380" s="53"/>
      <c r="F380" s="53"/>
      <c r="G380" s="55"/>
      <c r="H380" s="163" t="s">
        <v>12</v>
      </c>
      <c r="I380" s="164"/>
      <c r="J380" s="164"/>
      <c r="K380" s="165"/>
      <c r="L380" s="59">
        <f t="shared" ref="L380:N380" ca="1" si="166">L381+L382</f>
        <v>0</v>
      </c>
      <c r="M380" s="59">
        <f t="shared" ca="1" si="166"/>
        <v>0</v>
      </c>
      <c r="N380" s="59">
        <f t="shared" ca="1" si="166"/>
        <v>0</v>
      </c>
      <c r="O380" s="59">
        <f t="shared" ca="1" si="162"/>
        <v>0</v>
      </c>
      <c r="P380" s="59">
        <f t="shared" ca="1" si="163"/>
        <v>0</v>
      </c>
    </row>
    <row r="381" spans="1:16" ht="18.75" x14ac:dyDescent="0.25">
      <c r="A381" s="157"/>
      <c r="B381" s="53"/>
      <c r="C381" s="53"/>
      <c r="D381" s="53"/>
      <c r="E381" s="60" t="s">
        <v>34</v>
      </c>
      <c r="F381" s="53"/>
      <c r="G381" s="55"/>
      <c r="H381" s="163" t="s">
        <v>12</v>
      </c>
      <c r="I381" s="164"/>
      <c r="J381" s="164"/>
      <c r="K381" s="165"/>
      <c r="L381" s="59">
        <f ca="1">IFERROR(__xludf.DUMMYFUNCTION("IMPORTRANGE(""https://docs.google.com/spreadsheets/d/13wPX838HrBrQMCywv1BsuMkt4PEKTChp52zj44s2izQ/edit?usp=sharing"",""กาญจนบุรี!L381"")+IMPORTRANGE(""https://docs.google.com/spreadsheets/d/1ddFKvqj1W1NEiWytbGlB1zMx_ykJDVtmfEQ-6-lIUBA/edit?usp=sharing"","&amp;"""จันทบุรี!L381"")+IMPORTRANGE(""https://docs.google.com/spreadsheets/d/1T1PQvRODqOBZk8BRht_U031fIS1beLA0Ub2CEytj2q0/edit?usp=sharing"",""ฉะเชิงเทรา!L381"")+IMPORTRANGE(""https://docs.google.com/spreadsheets/d/11tr1B-Bhyr79v2bkwVh5h_fR-PStkgjlZtkrZpYurG0/"&amp;"edit?usp=sharing"",""ชลบุรี!L381"")+IMPORTRANGE(""https://docs.google.com/spreadsheets/d/1hh-FVnSX0vozXhGluamEcS54Dw9_zqW0N7qJUWgJ0Sw/edit?usp=sharing"",""ชัยนาท!L381"")+IMPORTRANGE(""https://docs.google.com/spreadsheets/d/1jkqa6GXxSacMcY1eN8AHjMNJ_7dDXMJ"&amp;"VRLDlaFSOdPM/edit?usp=sharing"",""ตราด!L381"")+IMPORTRANGE(""https://docs.google.com/spreadsheets/d/18hSgUJ3VwClqi_qtULmmW3cLr0oe3OKaSYoKzdpTsYQ/edit?usp=sharing"",""นครนายก!L381"")+IMPORTRANGE(""https://docs.google.com/spreadsheets/d/1YTZo6WM2dQ6Ix6FSdnL"&amp;"5P7uVnVKu40sxZu975tgG10E/edit?usp=sharing"",""นครปฐม!L381"")+IMPORTRANGE(""https://docs.google.com/spreadsheets/d/1OYoGg4WDg5RIzwGeB10padOxJF9E_Vljuvvct_M7RDo/edit?usp=sharing"",""ปทุมธานี!L381"")+IMPORTRANGE(""https://docs.google.com/spreadsheets/d/1GbCI"&amp;"E4D4wk9FUozzqk7SxfDMxDVBwVmI5zcaVUSzKAc/edit?usp=sharing"",""ประจวบคีรีขันธ์!L381"")+IMPORTRANGE(""https://docs.google.com/spreadsheets/d/1vVf6wykvW_lAyu7Yo9L4hUTqHqIeP_qcVuxCtosJEbg/edit?usp=sharing"",""ปราจีนบุรี!L381"")+IMPORTRANGE(""https://docs.googl"&amp;"e.com/spreadsheets/d/1BIDqLLg5jk3v59G8NlR8rk5xfQDKne0sAvZHSj7TI6I/edit?usp=sharing"",""พระนครศรีอยุธยา!L381"")+IMPORTRANGE(""https://docs.google.com/spreadsheets/d/1YXvxf8Yu6_rV4hTBrwMqAcAnv6DfhUxh5emyM3CJp_w/edit?usp=sharing"",""เพชรบุรี!L381"")+IMPORTRA"&amp;"NGE(""https://docs.google.com/spreadsheets/d/19KBlQQs7uwvsao6t2n-KvW3Ax8J8uRRfZPq1zPbXgKc/edit?usp=sharing"",""ระยอง!L381"")+IMPORTRANGE(""https://docs.google.com/spreadsheets/d/1jQ6P4QcrGM89YfqcC_PxOHGCMq5ezhucwJd8ci-NHng/edit?usp=sharing"",""ราชบุรี!L38"&amp;"1"")+IMPORTRANGE(""https://docs.google.com/spreadsheets/d/1lufeA2cfFqM-elVq2hznhDzC6Pr7wkJ9ZG_sYNGCMCU/edit?usp=sharing"",""ลพบุรี!L381"")+IMPORTRANGE(""https://docs.google.com/spreadsheets/d/10oOiF7loTyfsTkbd4MpaIm0HQ9SwB7IYHdIUvt-U1Uc/edit?usp=sharing"""&amp;",""สระแก้ว!L381"")+IMPORTRANGE(""https://docs.google.com/spreadsheets/d/1xmPlrr1QbdSIKvl1dWUl9K4PjAfSL9oeMr_37QVzcxc/edit?usp=sharing"",""สระบุรี!L381"")+IMPORTRANGE(""https://docs.google.com/spreadsheets/d/1j51vR6CYVGhABJpv6tkstgok82RLpXieLzW1yOY5rHw/edi"&amp;"t?usp=sharing"",""สิงห์บุรี!L381"")+IMPORTRANGE(""https://docs.google.com/spreadsheets/d/1H1EalTWKUSzO4Z1-1CwzoDUaVffgrThEBe2sl74kKG0/edit?usp=sharing"",""สุพรรณบุรี!L381"")+IMPORTRANGE(""https://docs.google.com/spreadsheets/d/1BmIruG_sIrJLYao_Pdr7zVArWsf"&amp;"oBt2692TMi6x_854/edit?usp=sharing"",""อ่างทอง!L381"")"),0)</f>
        <v>0</v>
      </c>
      <c r="M381" s="59">
        <f ca="1">IFERROR(__xludf.DUMMYFUNCTION("IMPORTRANGE(""https://docs.google.com/spreadsheets/d/13wPX838HrBrQMCywv1BsuMkt4PEKTChp52zj44s2izQ/edit?usp=sharing"",""กาญจนบุรี!M381"")+IMPORTRANGE(""https://docs.google.com/spreadsheets/d/1ddFKvqj1W1NEiWytbGlB1zMx_ykJDVtmfEQ-6-lIUBA/edit?usp=sharing"","&amp;"""จันทบุรี!M381"")+IMPORTRANGE(""https://docs.google.com/spreadsheets/d/1T1PQvRODqOBZk8BRht_U031fIS1beLA0Ub2CEytj2q0/edit?usp=sharing"",""ฉะเชิงเทรา!M381"")+IMPORTRANGE(""https://docs.google.com/spreadsheets/d/11tr1B-Bhyr79v2bkwVh5h_fR-PStkgjlZtkrZpYurG0/"&amp;"edit?usp=sharing"",""ชลบุรี!M381"")+IMPORTRANGE(""https://docs.google.com/spreadsheets/d/1hh-FVnSX0vozXhGluamEcS54Dw9_zqW0N7qJUWgJ0Sw/edit?usp=sharing"",""ชัยนาท!M381"")+IMPORTRANGE(""https://docs.google.com/spreadsheets/d/1jkqa6GXxSacMcY1eN8AHjMNJ_7dDXMJ"&amp;"VRLDlaFSOdPM/edit?usp=sharing"",""ตราด!M381"")+IMPORTRANGE(""https://docs.google.com/spreadsheets/d/18hSgUJ3VwClqi_qtULmmW3cLr0oe3OKaSYoKzdpTsYQ/edit?usp=sharing"",""นครนายก!M381"")+IMPORTRANGE(""https://docs.google.com/spreadsheets/d/1YTZo6WM2dQ6Ix6FSdnL"&amp;"5P7uVnVKu40sxZu975tgG10E/edit?usp=sharing"",""นครปฐม!M381"")+IMPORTRANGE(""https://docs.google.com/spreadsheets/d/1OYoGg4WDg5RIzwGeB10padOxJF9E_Vljuvvct_M7RDo/edit?usp=sharing"",""ปทุมธานี!M381"")+IMPORTRANGE(""https://docs.google.com/spreadsheets/d/1GbCI"&amp;"E4D4wk9FUozzqk7SxfDMxDVBwVmI5zcaVUSzKAc/edit?usp=sharing"",""ประจวบคีรีขันธ์!M381"")+IMPORTRANGE(""https://docs.google.com/spreadsheets/d/1vVf6wykvW_lAyu7Yo9L4hUTqHqIeP_qcVuxCtosJEbg/edit?usp=sharing"",""ปราจีนบุรี!M381"")+IMPORTRANGE(""https://docs.googl"&amp;"e.com/spreadsheets/d/1BIDqLLg5jk3v59G8NlR8rk5xfQDKne0sAvZHSj7TI6I/edit?usp=sharing"",""พระนครศรีอยุธยา!M381"")+IMPORTRANGE(""https://docs.google.com/spreadsheets/d/1YXvxf8Yu6_rV4hTBrwMqAcAnv6DfhUxh5emyM3CJp_w/edit?usp=sharing"",""เพชรบุรี!M381"")+IMPORTRA"&amp;"NGE(""https://docs.google.com/spreadsheets/d/19KBlQQs7uwvsao6t2n-KvW3Ax8J8uRRfZPq1zPbXgKc/edit?usp=sharing"",""ระยอง!M381"")+IMPORTRANGE(""https://docs.google.com/spreadsheets/d/1jQ6P4QcrGM89YfqcC_PxOHGCMq5ezhucwJd8ci-NHng/edit?usp=sharing"",""ราชบุรี!M38"&amp;"1"")+IMPORTRANGE(""https://docs.google.com/spreadsheets/d/1lufeA2cfFqM-elVq2hznhDzC6Pr7wkJ9ZG_sYNGCMCU/edit?usp=sharing"",""ลพบุรี!M381"")+IMPORTRANGE(""https://docs.google.com/spreadsheets/d/10oOiF7loTyfsTkbd4MpaIm0HQ9SwB7IYHdIUvt-U1Uc/edit?usp=sharing"""&amp;",""สระแก้ว!M381"")+IMPORTRANGE(""https://docs.google.com/spreadsheets/d/1xmPlrr1QbdSIKvl1dWUl9K4PjAfSL9oeMr_37QVzcxc/edit?usp=sharing"",""สระบุรี!M381"")+IMPORTRANGE(""https://docs.google.com/spreadsheets/d/1j51vR6CYVGhABJpv6tkstgok82RLpXieLzW1yOY5rHw/edi"&amp;"t?usp=sharing"",""สิงห์บุรี!M381"")+IMPORTRANGE(""https://docs.google.com/spreadsheets/d/1H1EalTWKUSzO4Z1-1CwzoDUaVffgrThEBe2sl74kKG0/edit?usp=sharing"",""สุพรรณบุรี!M381"")+IMPORTRANGE(""https://docs.google.com/spreadsheets/d/1BmIruG_sIrJLYao_Pdr7zVArWsf"&amp;"oBt2692TMi6x_854/edit?usp=sharing"",""อ่างทอง!M381"")"),0)</f>
        <v>0</v>
      </c>
      <c r="N381" s="59">
        <f ca="1">IFERROR(__xludf.DUMMYFUNCTION("IMPORTRANGE(""https://docs.google.com/spreadsheets/d/13wPX838HrBrQMCywv1BsuMkt4PEKTChp52zj44s2izQ/edit?usp=sharing"",""กาญจนบุรี!N381"")+IMPORTRANGE(""https://docs.google.com/spreadsheets/d/1ddFKvqj1W1NEiWytbGlB1zMx_ykJDVtmfEQ-6-lIUBA/edit?usp=sharing"","&amp;"""จันทบุรี!N381"")+IMPORTRANGE(""https://docs.google.com/spreadsheets/d/1T1PQvRODqOBZk8BRht_U031fIS1beLA0Ub2CEytj2q0/edit?usp=sharing"",""ฉะเชิงเทรา!N381"")+IMPORTRANGE(""https://docs.google.com/spreadsheets/d/11tr1B-Bhyr79v2bkwVh5h_fR-PStkgjlZtkrZpYurG0/"&amp;"edit?usp=sharing"",""ชลบุรี!N381"")+IMPORTRANGE(""https://docs.google.com/spreadsheets/d/1hh-FVnSX0vozXhGluamEcS54Dw9_zqW0N7qJUWgJ0Sw/edit?usp=sharing"",""ชัยนาท!N381"")+IMPORTRANGE(""https://docs.google.com/spreadsheets/d/1jkqa6GXxSacMcY1eN8AHjMNJ_7dDXMJ"&amp;"VRLDlaFSOdPM/edit?usp=sharing"",""ตราด!N381"")+IMPORTRANGE(""https://docs.google.com/spreadsheets/d/18hSgUJ3VwClqi_qtULmmW3cLr0oe3OKaSYoKzdpTsYQ/edit?usp=sharing"",""นครนายก!N381"")+IMPORTRANGE(""https://docs.google.com/spreadsheets/d/1YTZo6WM2dQ6Ix6FSdnL"&amp;"5P7uVnVKu40sxZu975tgG10E/edit?usp=sharing"",""นครปฐม!N381"")+IMPORTRANGE(""https://docs.google.com/spreadsheets/d/1OYoGg4WDg5RIzwGeB10padOxJF9E_Vljuvvct_M7RDo/edit?usp=sharing"",""ปทุมธานี!N381"")+IMPORTRANGE(""https://docs.google.com/spreadsheets/d/1GbCI"&amp;"E4D4wk9FUozzqk7SxfDMxDVBwVmI5zcaVUSzKAc/edit?usp=sharing"",""ประจวบคีรีขันธ์!N381"")+IMPORTRANGE(""https://docs.google.com/spreadsheets/d/1vVf6wykvW_lAyu7Yo9L4hUTqHqIeP_qcVuxCtosJEbg/edit?usp=sharing"",""ปราจีนบุรี!N381"")+IMPORTRANGE(""https://docs.googl"&amp;"e.com/spreadsheets/d/1BIDqLLg5jk3v59G8NlR8rk5xfQDKne0sAvZHSj7TI6I/edit?usp=sharing"",""พระนครศรีอยุธยา!N381"")+IMPORTRANGE(""https://docs.google.com/spreadsheets/d/1YXvxf8Yu6_rV4hTBrwMqAcAnv6DfhUxh5emyM3CJp_w/edit?usp=sharing"",""เพชรบุรี!N381"")+IMPORTRA"&amp;"NGE(""https://docs.google.com/spreadsheets/d/19KBlQQs7uwvsao6t2n-KvW3Ax8J8uRRfZPq1zPbXgKc/edit?usp=sharing"",""ระยอง!N381"")+IMPORTRANGE(""https://docs.google.com/spreadsheets/d/1jQ6P4QcrGM89YfqcC_PxOHGCMq5ezhucwJd8ci-NHng/edit?usp=sharing"",""ราชบุรี!N38"&amp;"1"")+IMPORTRANGE(""https://docs.google.com/spreadsheets/d/1lufeA2cfFqM-elVq2hznhDzC6Pr7wkJ9ZG_sYNGCMCU/edit?usp=sharing"",""ลพบุรี!N381"")+IMPORTRANGE(""https://docs.google.com/spreadsheets/d/10oOiF7loTyfsTkbd4MpaIm0HQ9SwB7IYHdIUvt-U1Uc/edit?usp=sharing"""&amp;",""สระแก้ว!N381"")+IMPORTRANGE(""https://docs.google.com/spreadsheets/d/1xmPlrr1QbdSIKvl1dWUl9K4PjAfSL9oeMr_37QVzcxc/edit?usp=sharing"",""สระบุรี!N381"")+IMPORTRANGE(""https://docs.google.com/spreadsheets/d/1j51vR6CYVGhABJpv6tkstgok82RLpXieLzW1yOY5rHw/edi"&amp;"t?usp=sharing"",""สิงห์บุรี!N381"")+IMPORTRANGE(""https://docs.google.com/spreadsheets/d/1H1EalTWKUSzO4Z1-1CwzoDUaVffgrThEBe2sl74kKG0/edit?usp=sharing"",""สุพรรณบุรี!N381"")+IMPORTRANGE(""https://docs.google.com/spreadsheets/d/1BmIruG_sIrJLYao_Pdr7zVArWsf"&amp;"oBt2692TMi6x_854/edit?usp=sharing"",""อ่างทอง!N381"")"),0)</f>
        <v>0</v>
      </c>
      <c r="O381" s="59">
        <f t="shared" ca="1" si="162"/>
        <v>0</v>
      </c>
      <c r="P381" s="59">
        <f t="shared" ca="1" si="163"/>
        <v>0</v>
      </c>
    </row>
    <row r="382" spans="1:16" ht="18.75" x14ac:dyDescent="0.25">
      <c r="A382" s="157"/>
      <c r="B382" s="53"/>
      <c r="C382" s="53"/>
      <c r="D382" s="53"/>
      <c r="E382" s="60" t="s">
        <v>35</v>
      </c>
      <c r="F382" s="53"/>
      <c r="G382" s="55"/>
      <c r="H382" s="163" t="s">
        <v>12</v>
      </c>
      <c r="I382" s="164"/>
      <c r="J382" s="164"/>
      <c r="K382" s="165"/>
      <c r="L382" s="59">
        <f ca="1">IFERROR(__xludf.DUMMYFUNCTION("IMPORTRANGE(""https://docs.google.com/spreadsheets/d/13wPX838HrBrQMCywv1BsuMkt4PEKTChp52zj44s2izQ/edit?usp=sharing"",""กาญจนบุรี!L382"")+IMPORTRANGE(""https://docs.google.com/spreadsheets/d/1ddFKvqj1W1NEiWytbGlB1zMx_ykJDVtmfEQ-6-lIUBA/edit?usp=sharing"","&amp;"""จันทบุรี!L382"")+IMPORTRANGE(""https://docs.google.com/spreadsheets/d/1T1PQvRODqOBZk8BRht_U031fIS1beLA0Ub2CEytj2q0/edit?usp=sharing"",""ฉะเชิงเทรา!L382"")+IMPORTRANGE(""https://docs.google.com/spreadsheets/d/11tr1B-Bhyr79v2bkwVh5h_fR-PStkgjlZtkrZpYurG0/"&amp;"edit?usp=sharing"",""ชลบุรี!L382"")+IMPORTRANGE(""https://docs.google.com/spreadsheets/d/1hh-FVnSX0vozXhGluamEcS54Dw9_zqW0N7qJUWgJ0Sw/edit?usp=sharing"",""ชัยนาท!L382"")+IMPORTRANGE(""https://docs.google.com/spreadsheets/d/1jkqa6GXxSacMcY1eN8AHjMNJ_7dDXMJ"&amp;"VRLDlaFSOdPM/edit?usp=sharing"",""ตราด!L382"")+IMPORTRANGE(""https://docs.google.com/spreadsheets/d/18hSgUJ3VwClqi_qtULmmW3cLr0oe3OKaSYoKzdpTsYQ/edit?usp=sharing"",""นครนายก!L382"")+IMPORTRANGE(""https://docs.google.com/spreadsheets/d/1YTZo6WM2dQ6Ix6FSdnL"&amp;"5P7uVnVKu40sxZu975tgG10E/edit?usp=sharing"",""นครปฐม!L382"")+IMPORTRANGE(""https://docs.google.com/spreadsheets/d/1OYoGg4WDg5RIzwGeB10padOxJF9E_Vljuvvct_M7RDo/edit?usp=sharing"",""ปทุมธานี!L382"")+IMPORTRANGE(""https://docs.google.com/spreadsheets/d/1GbCI"&amp;"E4D4wk9FUozzqk7SxfDMxDVBwVmI5zcaVUSzKAc/edit?usp=sharing"",""ประจวบคีรีขันธ์!L382"")+IMPORTRANGE(""https://docs.google.com/spreadsheets/d/1vVf6wykvW_lAyu7Yo9L4hUTqHqIeP_qcVuxCtosJEbg/edit?usp=sharing"",""ปราจีนบุรี!L382"")+IMPORTRANGE(""https://docs.googl"&amp;"e.com/spreadsheets/d/1BIDqLLg5jk3v59G8NlR8rk5xfQDKne0sAvZHSj7TI6I/edit?usp=sharing"",""พระนครศรีอยุธยา!L382"")+IMPORTRANGE(""https://docs.google.com/spreadsheets/d/1YXvxf8Yu6_rV4hTBrwMqAcAnv6DfhUxh5emyM3CJp_w/edit?usp=sharing"",""เพชรบุรี!L382"")+IMPORTRA"&amp;"NGE(""https://docs.google.com/spreadsheets/d/19KBlQQs7uwvsao6t2n-KvW3Ax8J8uRRfZPq1zPbXgKc/edit?usp=sharing"",""ระยอง!L382"")+IMPORTRANGE(""https://docs.google.com/spreadsheets/d/1jQ6P4QcrGM89YfqcC_PxOHGCMq5ezhucwJd8ci-NHng/edit?usp=sharing"",""ราชบุรี!L38"&amp;"2"")+IMPORTRANGE(""https://docs.google.com/spreadsheets/d/1lufeA2cfFqM-elVq2hznhDzC6Pr7wkJ9ZG_sYNGCMCU/edit?usp=sharing"",""ลพบุรี!L382"")+IMPORTRANGE(""https://docs.google.com/spreadsheets/d/10oOiF7loTyfsTkbd4MpaIm0HQ9SwB7IYHdIUvt-U1Uc/edit?usp=sharing"""&amp;",""สระแก้ว!L382"")+IMPORTRANGE(""https://docs.google.com/spreadsheets/d/1xmPlrr1QbdSIKvl1dWUl9K4PjAfSL9oeMr_37QVzcxc/edit?usp=sharing"",""สระบุรี!L382"")+IMPORTRANGE(""https://docs.google.com/spreadsheets/d/1j51vR6CYVGhABJpv6tkstgok82RLpXieLzW1yOY5rHw/edi"&amp;"t?usp=sharing"",""สิงห์บุรี!L382"")+IMPORTRANGE(""https://docs.google.com/spreadsheets/d/1H1EalTWKUSzO4Z1-1CwzoDUaVffgrThEBe2sl74kKG0/edit?usp=sharing"",""สุพรรณบุรี!L382"")+IMPORTRANGE(""https://docs.google.com/spreadsheets/d/1BmIruG_sIrJLYao_Pdr7zVArWsf"&amp;"oBt2692TMi6x_854/edit?usp=sharing"",""อ่างทอง!L382"")"),0)</f>
        <v>0</v>
      </c>
      <c r="M382" s="59">
        <f ca="1">IFERROR(__xludf.DUMMYFUNCTION("IMPORTRANGE(""https://docs.google.com/spreadsheets/d/13wPX838HrBrQMCywv1BsuMkt4PEKTChp52zj44s2izQ/edit?usp=sharing"",""กาญจนบุรี!M382"")+IMPORTRANGE(""https://docs.google.com/spreadsheets/d/1ddFKvqj1W1NEiWytbGlB1zMx_ykJDVtmfEQ-6-lIUBA/edit?usp=sharing"","&amp;"""จันทบุรี!M382"")+IMPORTRANGE(""https://docs.google.com/spreadsheets/d/1T1PQvRODqOBZk8BRht_U031fIS1beLA0Ub2CEytj2q0/edit?usp=sharing"",""ฉะเชิงเทรา!M382"")+IMPORTRANGE(""https://docs.google.com/spreadsheets/d/11tr1B-Bhyr79v2bkwVh5h_fR-PStkgjlZtkrZpYurG0/"&amp;"edit?usp=sharing"",""ชลบุรี!M382"")+IMPORTRANGE(""https://docs.google.com/spreadsheets/d/1hh-FVnSX0vozXhGluamEcS54Dw9_zqW0N7qJUWgJ0Sw/edit?usp=sharing"",""ชัยนาท!M382"")+IMPORTRANGE(""https://docs.google.com/spreadsheets/d/1jkqa6GXxSacMcY1eN8AHjMNJ_7dDXMJ"&amp;"VRLDlaFSOdPM/edit?usp=sharing"",""ตราด!M382"")+IMPORTRANGE(""https://docs.google.com/spreadsheets/d/18hSgUJ3VwClqi_qtULmmW3cLr0oe3OKaSYoKzdpTsYQ/edit?usp=sharing"",""นครนายก!M382"")+IMPORTRANGE(""https://docs.google.com/spreadsheets/d/1YTZo6WM2dQ6Ix6FSdnL"&amp;"5P7uVnVKu40sxZu975tgG10E/edit?usp=sharing"",""นครปฐม!M382"")+IMPORTRANGE(""https://docs.google.com/spreadsheets/d/1OYoGg4WDg5RIzwGeB10padOxJF9E_Vljuvvct_M7RDo/edit?usp=sharing"",""ปทุมธานี!M382"")+IMPORTRANGE(""https://docs.google.com/spreadsheets/d/1GbCI"&amp;"E4D4wk9FUozzqk7SxfDMxDVBwVmI5zcaVUSzKAc/edit?usp=sharing"",""ประจวบคีรีขันธ์!M382"")+IMPORTRANGE(""https://docs.google.com/spreadsheets/d/1vVf6wykvW_lAyu7Yo9L4hUTqHqIeP_qcVuxCtosJEbg/edit?usp=sharing"",""ปราจีนบุรี!M382"")+IMPORTRANGE(""https://docs.googl"&amp;"e.com/spreadsheets/d/1BIDqLLg5jk3v59G8NlR8rk5xfQDKne0sAvZHSj7TI6I/edit?usp=sharing"",""พระนครศรีอยุธยา!M382"")+IMPORTRANGE(""https://docs.google.com/spreadsheets/d/1YXvxf8Yu6_rV4hTBrwMqAcAnv6DfhUxh5emyM3CJp_w/edit?usp=sharing"",""เพชรบุรี!M382"")+IMPORTRA"&amp;"NGE(""https://docs.google.com/spreadsheets/d/19KBlQQs7uwvsao6t2n-KvW3Ax8J8uRRfZPq1zPbXgKc/edit?usp=sharing"",""ระยอง!M382"")+IMPORTRANGE(""https://docs.google.com/spreadsheets/d/1jQ6P4QcrGM89YfqcC_PxOHGCMq5ezhucwJd8ci-NHng/edit?usp=sharing"",""ราชบุรี!M38"&amp;"2"")+IMPORTRANGE(""https://docs.google.com/spreadsheets/d/1lufeA2cfFqM-elVq2hznhDzC6Pr7wkJ9ZG_sYNGCMCU/edit?usp=sharing"",""ลพบุรี!M382"")+IMPORTRANGE(""https://docs.google.com/spreadsheets/d/10oOiF7loTyfsTkbd4MpaIm0HQ9SwB7IYHdIUvt-U1Uc/edit?usp=sharing"""&amp;",""สระแก้ว!M382"")+IMPORTRANGE(""https://docs.google.com/spreadsheets/d/1xmPlrr1QbdSIKvl1dWUl9K4PjAfSL9oeMr_37QVzcxc/edit?usp=sharing"",""สระบุรี!M382"")+IMPORTRANGE(""https://docs.google.com/spreadsheets/d/1j51vR6CYVGhABJpv6tkstgok82RLpXieLzW1yOY5rHw/edi"&amp;"t?usp=sharing"",""สิงห์บุรี!M382"")+IMPORTRANGE(""https://docs.google.com/spreadsheets/d/1H1EalTWKUSzO4Z1-1CwzoDUaVffgrThEBe2sl74kKG0/edit?usp=sharing"",""สุพรรณบุรี!M382"")+IMPORTRANGE(""https://docs.google.com/spreadsheets/d/1BmIruG_sIrJLYao_Pdr7zVArWsf"&amp;"oBt2692TMi6x_854/edit?usp=sharing"",""อ่างทอง!M382"")"),0)</f>
        <v>0</v>
      </c>
      <c r="N382" s="59">
        <f ca="1">IFERROR(__xludf.DUMMYFUNCTION("IMPORTRANGE(""https://docs.google.com/spreadsheets/d/13wPX838HrBrQMCywv1BsuMkt4PEKTChp52zj44s2izQ/edit?usp=sharing"",""กาญจนบุรี!N382"")+IMPORTRANGE(""https://docs.google.com/spreadsheets/d/1ddFKvqj1W1NEiWytbGlB1zMx_ykJDVtmfEQ-6-lIUBA/edit?usp=sharing"","&amp;"""จันทบุรี!N382"")+IMPORTRANGE(""https://docs.google.com/spreadsheets/d/1T1PQvRODqOBZk8BRht_U031fIS1beLA0Ub2CEytj2q0/edit?usp=sharing"",""ฉะเชิงเทรา!N382"")+IMPORTRANGE(""https://docs.google.com/spreadsheets/d/11tr1B-Bhyr79v2bkwVh5h_fR-PStkgjlZtkrZpYurG0/"&amp;"edit?usp=sharing"",""ชลบุรี!N382"")+IMPORTRANGE(""https://docs.google.com/spreadsheets/d/1hh-FVnSX0vozXhGluamEcS54Dw9_zqW0N7qJUWgJ0Sw/edit?usp=sharing"",""ชัยนาท!N382"")+IMPORTRANGE(""https://docs.google.com/spreadsheets/d/1jkqa6GXxSacMcY1eN8AHjMNJ_7dDXMJ"&amp;"VRLDlaFSOdPM/edit?usp=sharing"",""ตราด!N382"")+IMPORTRANGE(""https://docs.google.com/spreadsheets/d/18hSgUJ3VwClqi_qtULmmW3cLr0oe3OKaSYoKzdpTsYQ/edit?usp=sharing"",""นครนายก!N382"")+IMPORTRANGE(""https://docs.google.com/spreadsheets/d/1YTZo6WM2dQ6Ix6FSdnL"&amp;"5P7uVnVKu40sxZu975tgG10E/edit?usp=sharing"",""นครปฐม!N382"")+IMPORTRANGE(""https://docs.google.com/spreadsheets/d/1OYoGg4WDg5RIzwGeB10padOxJF9E_Vljuvvct_M7RDo/edit?usp=sharing"",""ปทุมธานี!N382"")+IMPORTRANGE(""https://docs.google.com/spreadsheets/d/1GbCI"&amp;"E4D4wk9FUozzqk7SxfDMxDVBwVmI5zcaVUSzKAc/edit?usp=sharing"",""ประจวบคีรีขันธ์!N382"")+IMPORTRANGE(""https://docs.google.com/spreadsheets/d/1vVf6wykvW_lAyu7Yo9L4hUTqHqIeP_qcVuxCtosJEbg/edit?usp=sharing"",""ปราจีนบุรี!N382"")+IMPORTRANGE(""https://docs.googl"&amp;"e.com/spreadsheets/d/1BIDqLLg5jk3v59G8NlR8rk5xfQDKne0sAvZHSj7TI6I/edit?usp=sharing"",""พระนครศรีอยุธยา!N382"")+IMPORTRANGE(""https://docs.google.com/spreadsheets/d/1YXvxf8Yu6_rV4hTBrwMqAcAnv6DfhUxh5emyM3CJp_w/edit?usp=sharing"",""เพชรบุรี!N382"")+IMPORTRA"&amp;"NGE(""https://docs.google.com/spreadsheets/d/19KBlQQs7uwvsao6t2n-KvW3Ax8J8uRRfZPq1zPbXgKc/edit?usp=sharing"",""ระยอง!N382"")+IMPORTRANGE(""https://docs.google.com/spreadsheets/d/1jQ6P4QcrGM89YfqcC_PxOHGCMq5ezhucwJd8ci-NHng/edit?usp=sharing"",""ราชบุรี!N38"&amp;"2"")+IMPORTRANGE(""https://docs.google.com/spreadsheets/d/1lufeA2cfFqM-elVq2hznhDzC6Pr7wkJ9ZG_sYNGCMCU/edit?usp=sharing"",""ลพบุรี!N382"")+IMPORTRANGE(""https://docs.google.com/spreadsheets/d/10oOiF7loTyfsTkbd4MpaIm0HQ9SwB7IYHdIUvt-U1Uc/edit?usp=sharing"""&amp;",""สระแก้ว!N382"")+IMPORTRANGE(""https://docs.google.com/spreadsheets/d/1xmPlrr1QbdSIKvl1dWUl9K4PjAfSL9oeMr_37QVzcxc/edit?usp=sharing"",""สระบุรี!N382"")+IMPORTRANGE(""https://docs.google.com/spreadsheets/d/1j51vR6CYVGhABJpv6tkstgok82RLpXieLzW1yOY5rHw/edi"&amp;"t?usp=sharing"",""สิงห์บุรี!N382"")+IMPORTRANGE(""https://docs.google.com/spreadsheets/d/1H1EalTWKUSzO4Z1-1CwzoDUaVffgrThEBe2sl74kKG0/edit?usp=sharing"",""สุพรรณบุรี!N382"")+IMPORTRANGE(""https://docs.google.com/spreadsheets/d/1BmIruG_sIrJLYao_Pdr7zVArWsf"&amp;"oBt2692TMi6x_854/edit?usp=sharing"",""อ่างทอง!N382"")"),0)</f>
        <v>0</v>
      </c>
      <c r="O382" s="59">
        <f t="shared" ca="1" si="162"/>
        <v>0</v>
      </c>
      <c r="P382" s="59">
        <f t="shared" ca="1" si="163"/>
        <v>0</v>
      </c>
    </row>
    <row r="383" spans="1:16" ht="18.75" x14ac:dyDescent="0.25">
      <c r="A383" s="157"/>
      <c r="B383" s="53"/>
      <c r="C383" s="53"/>
      <c r="D383" s="54" t="s">
        <v>21</v>
      </c>
      <c r="E383" s="53"/>
      <c r="F383" s="53"/>
      <c r="G383" s="55"/>
      <c r="H383" s="166" t="s">
        <v>12</v>
      </c>
      <c r="I383" s="164"/>
      <c r="J383" s="164"/>
      <c r="K383" s="165"/>
      <c r="L383" s="59">
        <f t="shared" ref="L383:N383" ca="1" si="167">L384+L385</f>
        <v>0</v>
      </c>
      <c r="M383" s="59">
        <f t="shared" ca="1" si="167"/>
        <v>0</v>
      </c>
      <c r="N383" s="59">
        <f t="shared" ca="1" si="167"/>
        <v>0</v>
      </c>
      <c r="O383" s="59">
        <f t="shared" ca="1" si="162"/>
        <v>0</v>
      </c>
      <c r="P383" s="59">
        <f t="shared" ca="1" si="163"/>
        <v>0</v>
      </c>
    </row>
    <row r="384" spans="1:16" ht="18.75" x14ac:dyDescent="0.25">
      <c r="A384" s="157"/>
      <c r="B384" s="53"/>
      <c r="C384" s="53"/>
      <c r="D384" s="53"/>
      <c r="E384" s="60" t="s">
        <v>18</v>
      </c>
      <c r="F384" s="53"/>
      <c r="G384" s="55"/>
      <c r="H384" s="163" t="s">
        <v>12</v>
      </c>
      <c r="I384" s="164"/>
      <c r="J384" s="164"/>
      <c r="K384" s="165"/>
      <c r="L384" s="59">
        <f ca="1">IFERROR(__xludf.DUMMYFUNCTION("IMPORTRANGE(""https://docs.google.com/spreadsheets/d/13wPX838HrBrQMCywv1BsuMkt4PEKTChp52zj44s2izQ/edit?usp=sharing"",""กาญจนบุรี!L384"")+IMPORTRANGE(""https://docs.google.com/spreadsheets/d/1ddFKvqj1W1NEiWytbGlB1zMx_ykJDVtmfEQ-6-lIUBA/edit?usp=sharing"","&amp;"""จันทบุรี!L384"")+IMPORTRANGE(""https://docs.google.com/spreadsheets/d/1T1PQvRODqOBZk8BRht_U031fIS1beLA0Ub2CEytj2q0/edit?usp=sharing"",""ฉะเชิงเทรา!L384"")+IMPORTRANGE(""https://docs.google.com/spreadsheets/d/11tr1B-Bhyr79v2bkwVh5h_fR-PStkgjlZtkrZpYurG0/"&amp;"edit?usp=sharing"",""ชลบุรี!L384"")+IMPORTRANGE(""https://docs.google.com/spreadsheets/d/1hh-FVnSX0vozXhGluamEcS54Dw9_zqW0N7qJUWgJ0Sw/edit?usp=sharing"",""ชัยนาท!L384"")+IMPORTRANGE(""https://docs.google.com/spreadsheets/d/1jkqa6GXxSacMcY1eN8AHjMNJ_7dDXMJ"&amp;"VRLDlaFSOdPM/edit?usp=sharing"",""ตราด!L384"")+IMPORTRANGE(""https://docs.google.com/spreadsheets/d/18hSgUJ3VwClqi_qtULmmW3cLr0oe3OKaSYoKzdpTsYQ/edit?usp=sharing"",""นครนายก!L384"")+IMPORTRANGE(""https://docs.google.com/spreadsheets/d/1YTZo6WM2dQ6Ix6FSdnL"&amp;"5P7uVnVKu40sxZu975tgG10E/edit?usp=sharing"",""นครปฐม!L384"")+IMPORTRANGE(""https://docs.google.com/spreadsheets/d/1OYoGg4WDg5RIzwGeB10padOxJF9E_Vljuvvct_M7RDo/edit?usp=sharing"",""ปทุมธานี!L384"")+IMPORTRANGE(""https://docs.google.com/spreadsheets/d/1GbCI"&amp;"E4D4wk9FUozzqk7SxfDMxDVBwVmI5zcaVUSzKAc/edit?usp=sharing"",""ประจวบคีรีขันธ์!L384"")+IMPORTRANGE(""https://docs.google.com/spreadsheets/d/1vVf6wykvW_lAyu7Yo9L4hUTqHqIeP_qcVuxCtosJEbg/edit?usp=sharing"",""ปราจีนบุรี!L384"")+IMPORTRANGE(""https://docs.googl"&amp;"e.com/spreadsheets/d/1BIDqLLg5jk3v59G8NlR8rk5xfQDKne0sAvZHSj7TI6I/edit?usp=sharing"",""พระนครศรีอยุธยา!L384"")+IMPORTRANGE(""https://docs.google.com/spreadsheets/d/1YXvxf8Yu6_rV4hTBrwMqAcAnv6DfhUxh5emyM3CJp_w/edit?usp=sharing"",""เพชรบุรี!L384"")+IMPORTRA"&amp;"NGE(""https://docs.google.com/spreadsheets/d/19KBlQQs7uwvsao6t2n-KvW3Ax8J8uRRfZPq1zPbXgKc/edit?usp=sharing"",""ระยอง!L384"")+IMPORTRANGE(""https://docs.google.com/spreadsheets/d/1jQ6P4QcrGM89YfqcC_PxOHGCMq5ezhucwJd8ci-NHng/edit?usp=sharing"",""ราชบุรี!L38"&amp;"4"")+IMPORTRANGE(""https://docs.google.com/spreadsheets/d/1lufeA2cfFqM-elVq2hznhDzC6Pr7wkJ9ZG_sYNGCMCU/edit?usp=sharing"",""ลพบุรี!L384"")+IMPORTRANGE(""https://docs.google.com/spreadsheets/d/10oOiF7loTyfsTkbd4MpaIm0HQ9SwB7IYHdIUvt-U1Uc/edit?usp=sharing"""&amp;",""สระแก้ว!L384"")+IMPORTRANGE(""https://docs.google.com/spreadsheets/d/1xmPlrr1QbdSIKvl1dWUl9K4PjAfSL9oeMr_37QVzcxc/edit?usp=sharing"",""สระบุรี!L384"")+IMPORTRANGE(""https://docs.google.com/spreadsheets/d/1j51vR6CYVGhABJpv6tkstgok82RLpXieLzW1yOY5rHw/edi"&amp;"t?usp=sharing"",""สิงห์บุรี!L384"")+IMPORTRANGE(""https://docs.google.com/spreadsheets/d/1H1EalTWKUSzO4Z1-1CwzoDUaVffgrThEBe2sl74kKG0/edit?usp=sharing"",""สุพรรณบุรี!L384"")+IMPORTRANGE(""https://docs.google.com/spreadsheets/d/1BmIruG_sIrJLYao_Pdr7zVArWsf"&amp;"oBt2692TMi6x_854/edit?usp=sharing"",""อ่างทอง!L384"")"),0)</f>
        <v>0</v>
      </c>
      <c r="M384" s="59">
        <f ca="1">IFERROR(__xludf.DUMMYFUNCTION("IMPORTRANGE(""https://docs.google.com/spreadsheets/d/13wPX838HrBrQMCywv1BsuMkt4PEKTChp52zj44s2izQ/edit?usp=sharing"",""กาญจนบุรี!M384"")+IMPORTRANGE(""https://docs.google.com/spreadsheets/d/1ddFKvqj1W1NEiWytbGlB1zMx_ykJDVtmfEQ-6-lIUBA/edit?usp=sharing"","&amp;"""จันทบุรี!M384"")+IMPORTRANGE(""https://docs.google.com/spreadsheets/d/1T1PQvRODqOBZk8BRht_U031fIS1beLA0Ub2CEytj2q0/edit?usp=sharing"",""ฉะเชิงเทรา!M384"")+IMPORTRANGE(""https://docs.google.com/spreadsheets/d/11tr1B-Bhyr79v2bkwVh5h_fR-PStkgjlZtkrZpYurG0/"&amp;"edit?usp=sharing"",""ชลบุรี!M384"")+IMPORTRANGE(""https://docs.google.com/spreadsheets/d/1hh-FVnSX0vozXhGluamEcS54Dw9_zqW0N7qJUWgJ0Sw/edit?usp=sharing"",""ชัยนาท!M384"")+IMPORTRANGE(""https://docs.google.com/spreadsheets/d/1jkqa6GXxSacMcY1eN8AHjMNJ_7dDXMJ"&amp;"VRLDlaFSOdPM/edit?usp=sharing"",""ตราด!M384"")+IMPORTRANGE(""https://docs.google.com/spreadsheets/d/18hSgUJ3VwClqi_qtULmmW3cLr0oe3OKaSYoKzdpTsYQ/edit?usp=sharing"",""นครนายก!M384"")+IMPORTRANGE(""https://docs.google.com/spreadsheets/d/1YTZo6WM2dQ6Ix6FSdnL"&amp;"5P7uVnVKu40sxZu975tgG10E/edit?usp=sharing"",""นครปฐม!M384"")+IMPORTRANGE(""https://docs.google.com/spreadsheets/d/1OYoGg4WDg5RIzwGeB10padOxJF9E_Vljuvvct_M7RDo/edit?usp=sharing"",""ปทุมธานี!M384"")+IMPORTRANGE(""https://docs.google.com/spreadsheets/d/1GbCI"&amp;"E4D4wk9FUozzqk7SxfDMxDVBwVmI5zcaVUSzKAc/edit?usp=sharing"",""ประจวบคีรีขันธ์!M384"")+IMPORTRANGE(""https://docs.google.com/spreadsheets/d/1vVf6wykvW_lAyu7Yo9L4hUTqHqIeP_qcVuxCtosJEbg/edit?usp=sharing"",""ปราจีนบุรี!M384"")+IMPORTRANGE(""https://docs.googl"&amp;"e.com/spreadsheets/d/1BIDqLLg5jk3v59G8NlR8rk5xfQDKne0sAvZHSj7TI6I/edit?usp=sharing"",""พระนครศรีอยุธยา!M384"")+IMPORTRANGE(""https://docs.google.com/spreadsheets/d/1YXvxf8Yu6_rV4hTBrwMqAcAnv6DfhUxh5emyM3CJp_w/edit?usp=sharing"",""เพชรบุรี!M384"")+IMPORTRA"&amp;"NGE(""https://docs.google.com/spreadsheets/d/19KBlQQs7uwvsao6t2n-KvW3Ax8J8uRRfZPq1zPbXgKc/edit?usp=sharing"",""ระยอง!M384"")+IMPORTRANGE(""https://docs.google.com/spreadsheets/d/1jQ6P4QcrGM89YfqcC_PxOHGCMq5ezhucwJd8ci-NHng/edit?usp=sharing"",""ราชบุรี!M38"&amp;"4"")+IMPORTRANGE(""https://docs.google.com/spreadsheets/d/1lufeA2cfFqM-elVq2hznhDzC6Pr7wkJ9ZG_sYNGCMCU/edit?usp=sharing"",""ลพบุรี!M384"")+IMPORTRANGE(""https://docs.google.com/spreadsheets/d/10oOiF7loTyfsTkbd4MpaIm0HQ9SwB7IYHdIUvt-U1Uc/edit?usp=sharing"""&amp;",""สระแก้ว!M384"")+IMPORTRANGE(""https://docs.google.com/spreadsheets/d/1xmPlrr1QbdSIKvl1dWUl9K4PjAfSL9oeMr_37QVzcxc/edit?usp=sharing"",""สระบุรี!M384"")+IMPORTRANGE(""https://docs.google.com/spreadsheets/d/1j51vR6CYVGhABJpv6tkstgok82RLpXieLzW1yOY5rHw/edi"&amp;"t?usp=sharing"",""สิงห์บุรี!M384"")+IMPORTRANGE(""https://docs.google.com/spreadsheets/d/1H1EalTWKUSzO4Z1-1CwzoDUaVffgrThEBe2sl74kKG0/edit?usp=sharing"",""สุพรรณบุรี!M384"")+IMPORTRANGE(""https://docs.google.com/spreadsheets/d/1BmIruG_sIrJLYao_Pdr7zVArWsf"&amp;"oBt2692TMi6x_854/edit?usp=sharing"",""อ่างทอง!M384"")"),0)</f>
        <v>0</v>
      </c>
      <c r="N384" s="59">
        <f ca="1">IFERROR(__xludf.DUMMYFUNCTION("IMPORTRANGE(""https://docs.google.com/spreadsheets/d/13wPX838HrBrQMCywv1BsuMkt4PEKTChp52zj44s2izQ/edit?usp=sharing"",""กาญจนบุรี!N384"")+IMPORTRANGE(""https://docs.google.com/spreadsheets/d/1ddFKvqj1W1NEiWytbGlB1zMx_ykJDVtmfEQ-6-lIUBA/edit?usp=sharing"","&amp;"""จันทบุรี!N384"")+IMPORTRANGE(""https://docs.google.com/spreadsheets/d/1T1PQvRODqOBZk8BRht_U031fIS1beLA0Ub2CEytj2q0/edit?usp=sharing"",""ฉะเชิงเทรา!N384"")+IMPORTRANGE(""https://docs.google.com/spreadsheets/d/11tr1B-Bhyr79v2bkwVh5h_fR-PStkgjlZtkrZpYurG0/"&amp;"edit?usp=sharing"",""ชลบุรี!N384"")+IMPORTRANGE(""https://docs.google.com/spreadsheets/d/1hh-FVnSX0vozXhGluamEcS54Dw9_zqW0N7qJUWgJ0Sw/edit?usp=sharing"",""ชัยนาท!N384"")+IMPORTRANGE(""https://docs.google.com/spreadsheets/d/1jkqa6GXxSacMcY1eN8AHjMNJ_7dDXMJ"&amp;"VRLDlaFSOdPM/edit?usp=sharing"",""ตราด!N384"")+IMPORTRANGE(""https://docs.google.com/spreadsheets/d/18hSgUJ3VwClqi_qtULmmW3cLr0oe3OKaSYoKzdpTsYQ/edit?usp=sharing"",""นครนายก!N384"")+IMPORTRANGE(""https://docs.google.com/spreadsheets/d/1YTZo6WM2dQ6Ix6FSdnL"&amp;"5P7uVnVKu40sxZu975tgG10E/edit?usp=sharing"",""นครปฐม!N384"")+IMPORTRANGE(""https://docs.google.com/spreadsheets/d/1OYoGg4WDg5RIzwGeB10padOxJF9E_Vljuvvct_M7RDo/edit?usp=sharing"",""ปทุมธานี!N384"")+IMPORTRANGE(""https://docs.google.com/spreadsheets/d/1GbCI"&amp;"E4D4wk9FUozzqk7SxfDMxDVBwVmI5zcaVUSzKAc/edit?usp=sharing"",""ประจวบคีรีขันธ์!N384"")+IMPORTRANGE(""https://docs.google.com/spreadsheets/d/1vVf6wykvW_lAyu7Yo9L4hUTqHqIeP_qcVuxCtosJEbg/edit?usp=sharing"",""ปราจีนบุรี!N384"")+IMPORTRANGE(""https://docs.googl"&amp;"e.com/spreadsheets/d/1BIDqLLg5jk3v59G8NlR8rk5xfQDKne0sAvZHSj7TI6I/edit?usp=sharing"",""พระนครศรีอยุธยา!N384"")+IMPORTRANGE(""https://docs.google.com/spreadsheets/d/1YXvxf8Yu6_rV4hTBrwMqAcAnv6DfhUxh5emyM3CJp_w/edit?usp=sharing"",""เพชรบุรี!N384"")+IMPORTRA"&amp;"NGE(""https://docs.google.com/spreadsheets/d/19KBlQQs7uwvsao6t2n-KvW3Ax8J8uRRfZPq1zPbXgKc/edit?usp=sharing"",""ระยอง!N384"")+IMPORTRANGE(""https://docs.google.com/spreadsheets/d/1jQ6P4QcrGM89YfqcC_PxOHGCMq5ezhucwJd8ci-NHng/edit?usp=sharing"",""ราชบุรี!N38"&amp;"4"")+IMPORTRANGE(""https://docs.google.com/spreadsheets/d/1lufeA2cfFqM-elVq2hznhDzC6Pr7wkJ9ZG_sYNGCMCU/edit?usp=sharing"",""ลพบุรี!N384"")+IMPORTRANGE(""https://docs.google.com/spreadsheets/d/10oOiF7loTyfsTkbd4MpaIm0HQ9SwB7IYHdIUvt-U1Uc/edit?usp=sharing"""&amp;",""สระแก้ว!N384"")+IMPORTRANGE(""https://docs.google.com/spreadsheets/d/1xmPlrr1QbdSIKvl1dWUl9K4PjAfSL9oeMr_37QVzcxc/edit?usp=sharing"",""สระบุรี!N384"")+IMPORTRANGE(""https://docs.google.com/spreadsheets/d/1j51vR6CYVGhABJpv6tkstgok82RLpXieLzW1yOY5rHw/edi"&amp;"t?usp=sharing"",""สิงห์บุรี!N384"")+IMPORTRANGE(""https://docs.google.com/spreadsheets/d/1H1EalTWKUSzO4Z1-1CwzoDUaVffgrThEBe2sl74kKG0/edit?usp=sharing"",""สุพรรณบุรี!N384"")+IMPORTRANGE(""https://docs.google.com/spreadsheets/d/1BmIruG_sIrJLYao_Pdr7zVArWsf"&amp;"oBt2692TMi6x_854/edit?usp=sharing"",""อ่างทอง!N384"")"),0)</f>
        <v>0</v>
      </c>
      <c r="O384" s="59">
        <f t="shared" ca="1" si="162"/>
        <v>0</v>
      </c>
      <c r="P384" s="59">
        <f t="shared" ca="1" si="163"/>
        <v>0</v>
      </c>
    </row>
    <row r="385" spans="1:16" ht="18.75" x14ac:dyDescent="0.25">
      <c r="A385" s="157"/>
      <c r="B385" s="53"/>
      <c r="C385" s="53"/>
      <c r="D385" s="53"/>
      <c r="E385" s="60" t="s">
        <v>19</v>
      </c>
      <c r="F385" s="53"/>
      <c r="G385" s="55"/>
      <c r="H385" s="166" t="s">
        <v>12</v>
      </c>
      <c r="I385" s="164"/>
      <c r="J385" s="164"/>
      <c r="K385" s="165"/>
      <c r="L385" s="59">
        <f ca="1">IFERROR(__xludf.DUMMYFUNCTION("IMPORTRANGE(""https://docs.google.com/spreadsheets/d/13wPX838HrBrQMCywv1BsuMkt4PEKTChp52zj44s2izQ/edit?usp=sharing"",""กาญจนบุรี!L385"")+IMPORTRANGE(""https://docs.google.com/spreadsheets/d/1ddFKvqj1W1NEiWytbGlB1zMx_ykJDVtmfEQ-6-lIUBA/edit?usp=sharing"","&amp;"""จันทบุรี!L385"")+IMPORTRANGE(""https://docs.google.com/spreadsheets/d/1T1PQvRODqOBZk8BRht_U031fIS1beLA0Ub2CEytj2q0/edit?usp=sharing"",""ฉะเชิงเทรา!L385"")+IMPORTRANGE(""https://docs.google.com/spreadsheets/d/11tr1B-Bhyr79v2bkwVh5h_fR-PStkgjlZtkrZpYurG0/"&amp;"edit?usp=sharing"",""ชลบุรี!L385"")+IMPORTRANGE(""https://docs.google.com/spreadsheets/d/1hh-FVnSX0vozXhGluamEcS54Dw9_zqW0N7qJUWgJ0Sw/edit?usp=sharing"",""ชัยนาท!L385"")+IMPORTRANGE(""https://docs.google.com/spreadsheets/d/1jkqa6GXxSacMcY1eN8AHjMNJ_7dDXMJ"&amp;"VRLDlaFSOdPM/edit?usp=sharing"",""ตราด!L385"")+IMPORTRANGE(""https://docs.google.com/spreadsheets/d/18hSgUJ3VwClqi_qtULmmW3cLr0oe3OKaSYoKzdpTsYQ/edit?usp=sharing"",""นครนายก!L385"")+IMPORTRANGE(""https://docs.google.com/spreadsheets/d/1YTZo6WM2dQ6Ix6FSdnL"&amp;"5P7uVnVKu40sxZu975tgG10E/edit?usp=sharing"",""นครปฐม!L385"")+IMPORTRANGE(""https://docs.google.com/spreadsheets/d/1OYoGg4WDg5RIzwGeB10padOxJF9E_Vljuvvct_M7RDo/edit?usp=sharing"",""ปทุมธานี!L385"")+IMPORTRANGE(""https://docs.google.com/spreadsheets/d/1GbCI"&amp;"E4D4wk9FUozzqk7SxfDMxDVBwVmI5zcaVUSzKAc/edit?usp=sharing"",""ประจวบคีรีขันธ์!L385"")+IMPORTRANGE(""https://docs.google.com/spreadsheets/d/1vVf6wykvW_lAyu7Yo9L4hUTqHqIeP_qcVuxCtosJEbg/edit?usp=sharing"",""ปราจีนบุรี!L385"")+IMPORTRANGE(""https://docs.googl"&amp;"e.com/spreadsheets/d/1BIDqLLg5jk3v59G8NlR8rk5xfQDKne0sAvZHSj7TI6I/edit?usp=sharing"",""พระนครศรีอยุธยา!L385"")+IMPORTRANGE(""https://docs.google.com/spreadsheets/d/1YXvxf8Yu6_rV4hTBrwMqAcAnv6DfhUxh5emyM3CJp_w/edit?usp=sharing"",""เพชรบุรี!L385"")+IMPORTRA"&amp;"NGE(""https://docs.google.com/spreadsheets/d/19KBlQQs7uwvsao6t2n-KvW3Ax8J8uRRfZPq1zPbXgKc/edit?usp=sharing"",""ระยอง!L385"")+IMPORTRANGE(""https://docs.google.com/spreadsheets/d/1jQ6P4QcrGM89YfqcC_PxOHGCMq5ezhucwJd8ci-NHng/edit?usp=sharing"",""ราชบุรี!L38"&amp;"5"")+IMPORTRANGE(""https://docs.google.com/spreadsheets/d/1lufeA2cfFqM-elVq2hznhDzC6Pr7wkJ9ZG_sYNGCMCU/edit?usp=sharing"",""ลพบุรี!L385"")+IMPORTRANGE(""https://docs.google.com/spreadsheets/d/10oOiF7loTyfsTkbd4MpaIm0HQ9SwB7IYHdIUvt-U1Uc/edit?usp=sharing"""&amp;",""สระแก้ว!L385"")+IMPORTRANGE(""https://docs.google.com/spreadsheets/d/1xmPlrr1QbdSIKvl1dWUl9K4PjAfSL9oeMr_37QVzcxc/edit?usp=sharing"",""สระบุรี!L385"")+IMPORTRANGE(""https://docs.google.com/spreadsheets/d/1j51vR6CYVGhABJpv6tkstgok82RLpXieLzW1yOY5rHw/edi"&amp;"t?usp=sharing"",""สิงห์บุรี!L385"")+IMPORTRANGE(""https://docs.google.com/spreadsheets/d/1H1EalTWKUSzO4Z1-1CwzoDUaVffgrThEBe2sl74kKG0/edit?usp=sharing"",""สุพรรณบุรี!L385"")+IMPORTRANGE(""https://docs.google.com/spreadsheets/d/1BmIruG_sIrJLYao_Pdr7zVArWsf"&amp;"oBt2692TMi6x_854/edit?usp=sharing"",""อ่างทอง!L385"")"),0)</f>
        <v>0</v>
      </c>
      <c r="M385" s="59">
        <f ca="1">IFERROR(__xludf.DUMMYFUNCTION("IMPORTRANGE(""https://docs.google.com/spreadsheets/d/13wPX838HrBrQMCywv1BsuMkt4PEKTChp52zj44s2izQ/edit?usp=sharing"",""กาญจนบุรี!M385"")+IMPORTRANGE(""https://docs.google.com/spreadsheets/d/1ddFKvqj1W1NEiWytbGlB1zMx_ykJDVtmfEQ-6-lIUBA/edit?usp=sharing"","&amp;"""จันทบุรี!M385"")+IMPORTRANGE(""https://docs.google.com/spreadsheets/d/1T1PQvRODqOBZk8BRht_U031fIS1beLA0Ub2CEytj2q0/edit?usp=sharing"",""ฉะเชิงเทรา!M385"")+IMPORTRANGE(""https://docs.google.com/spreadsheets/d/11tr1B-Bhyr79v2bkwVh5h_fR-PStkgjlZtkrZpYurG0/"&amp;"edit?usp=sharing"",""ชลบุรี!M385"")+IMPORTRANGE(""https://docs.google.com/spreadsheets/d/1hh-FVnSX0vozXhGluamEcS54Dw9_zqW0N7qJUWgJ0Sw/edit?usp=sharing"",""ชัยนาท!M385"")+IMPORTRANGE(""https://docs.google.com/spreadsheets/d/1jkqa6GXxSacMcY1eN8AHjMNJ_7dDXMJ"&amp;"VRLDlaFSOdPM/edit?usp=sharing"",""ตราด!M385"")+IMPORTRANGE(""https://docs.google.com/spreadsheets/d/18hSgUJ3VwClqi_qtULmmW3cLr0oe3OKaSYoKzdpTsYQ/edit?usp=sharing"",""นครนายก!M385"")+IMPORTRANGE(""https://docs.google.com/spreadsheets/d/1YTZo6WM2dQ6Ix6FSdnL"&amp;"5P7uVnVKu40sxZu975tgG10E/edit?usp=sharing"",""นครปฐม!M385"")+IMPORTRANGE(""https://docs.google.com/spreadsheets/d/1OYoGg4WDg5RIzwGeB10padOxJF9E_Vljuvvct_M7RDo/edit?usp=sharing"",""ปทุมธานี!M385"")+IMPORTRANGE(""https://docs.google.com/spreadsheets/d/1GbCI"&amp;"E4D4wk9FUozzqk7SxfDMxDVBwVmI5zcaVUSzKAc/edit?usp=sharing"",""ประจวบคีรีขันธ์!M385"")+IMPORTRANGE(""https://docs.google.com/spreadsheets/d/1vVf6wykvW_lAyu7Yo9L4hUTqHqIeP_qcVuxCtosJEbg/edit?usp=sharing"",""ปราจีนบุรี!M385"")+IMPORTRANGE(""https://docs.googl"&amp;"e.com/spreadsheets/d/1BIDqLLg5jk3v59G8NlR8rk5xfQDKne0sAvZHSj7TI6I/edit?usp=sharing"",""พระนครศรีอยุธยา!M385"")+IMPORTRANGE(""https://docs.google.com/spreadsheets/d/1YXvxf8Yu6_rV4hTBrwMqAcAnv6DfhUxh5emyM3CJp_w/edit?usp=sharing"",""เพชรบุรี!M385"")+IMPORTRA"&amp;"NGE(""https://docs.google.com/spreadsheets/d/19KBlQQs7uwvsao6t2n-KvW3Ax8J8uRRfZPq1zPbXgKc/edit?usp=sharing"",""ระยอง!M385"")+IMPORTRANGE(""https://docs.google.com/spreadsheets/d/1jQ6P4QcrGM89YfqcC_PxOHGCMq5ezhucwJd8ci-NHng/edit?usp=sharing"",""ราชบุรี!M38"&amp;"5"")+IMPORTRANGE(""https://docs.google.com/spreadsheets/d/1lufeA2cfFqM-elVq2hznhDzC6Pr7wkJ9ZG_sYNGCMCU/edit?usp=sharing"",""ลพบุรี!M385"")+IMPORTRANGE(""https://docs.google.com/spreadsheets/d/10oOiF7loTyfsTkbd4MpaIm0HQ9SwB7IYHdIUvt-U1Uc/edit?usp=sharing"""&amp;",""สระแก้ว!M385"")+IMPORTRANGE(""https://docs.google.com/spreadsheets/d/1xmPlrr1QbdSIKvl1dWUl9K4PjAfSL9oeMr_37QVzcxc/edit?usp=sharing"",""สระบุรี!M385"")+IMPORTRANGE(""https://docs.google.com/spreadsheets/d/1j51vR6CYVGhABJpv6tkstgok82RLpXieLzW1yOY5rHw/edi"&amp;"t?usp=sharing"",""สิงห์บุรี!M385"")+IMPORTRANGE(""https://docs.google.com/spreadsheets/d/1H1EalTWKUSzO4Z1-1CwzoDUaVffgrThEBe2sl74kKG0/edit?usp=sharing"",""สุพรรณบุรี!M385"")+IMPORTRANGE(""https://docs.google.com/spreadsheets/d/1BmIruG_sIrJLYao_Pdr7zVArWsf"&amp;"oBt2692TMi6x_854/edit?usp=sharing"",""อ่างทอง!M385"")"),0)</f>
        <v>0</v>
      </c>
      <c r="N385" s="59">
        <f ca="1">IFERROR(__xludf.DUMMYFUNCTION("IMPORTRANGE(""https://docs.google.com/spreadsheets/d/13wPX838HrBrQMCywv1BsuMkt4PEKTChp52zj44s2izQ/edit?usp=sharing"",""กาญจนบุรี!N385"")+IMPORTRANGE(""https://docs.google.com/spreadsheets/d/1ddFKvqj1W1NEiWytbGlB1zMx_ykJDVtmfEQ-6-lIUBA/edit?usp=sharing"","&amp;"""จันทบุรี!N385"")+IMPORTRANGE(""https://docs.google.com/spreadsheets/d/1T1PQvRODqOBZk8BRht_U031fIS1beLA0Ub2CEytj2q0/edit?usp=sharing"",""ฉะเชิงเทรา!N385"")+IMPORTRANGE(""https://docs.google.com/spreadsheets/d/11tr1B-Bhyr79v2bkwVh5h_fR-PStkgjlZtkrZpYurG0/"&amp;"edit?usp=sharing"",""ชลบุรี!N385"")+IMPORTRANGE(""https://docs.google.com/spreadsheets/d/1hh-FVnSX0vozXhGluamEcS54Dw9_zqW0N7qJUWgJ0Sw/edit?usp=sharing"",""ชัยนาท!N385"")+IMPORTRANGE(""https://docs.google.com/spreadsheets/d/1jkqa6GXxSacMcY1eN8AHjMNJ_7dDXMJ"&amp;"VRLDlaFSOdPM/edit?usp=sharing"",""ตราด!N385"")+IMPORTRANGE(""https://docs.google.com/spreadsheets/d/18hSgUJ3VwClqi_qtULmmW3cLr0oe3OKaSYoKzdpTsYQ/edit?usp=sharing"",""นครนายก!N385"")+IMPORTRANGE(""https://docs.google.com/spreadsheets/d/1YTZo6WM2dQ6Ix6FSdnL"&amp;"5P7uVnVKu40sxZu975tgG10E/edit?usp=sharing"",""นครปฐม!N385"")+IMPORTRANGE(""https://docs.google.com/spreadsheets/d/1OYoGg4WDg5RIzwGeB10padOxJF9E_Vljuvvct_M7RDo/edit?usp=sharing"",""ปทุมธานี!N385"")+IMPORTRANGE(""https://docs.google.com/spreadsheets/d/1GbCI"&amp;"E4D4wk9FUozzqk7SxfDMxDVBwVmI5zcaVUSzKAc/edit?usp=sharing"",""ประจวบคีรีขันธ์!N385"")+IMPORTRANGE(""https://docs.google.com/spreadsheets/d/1vVf6wykvW_lAyu7Yo9L4hUTqHqIeP_qcVuxCtosJEbg/edit?usp=sharing"",""ปราจีนบุรี!N385"")+IMPORTRANGE(""https://docs.googl"&amp;"e.com/spreadsheets/d/1BIDqLLg5jk3v59G8NlR8rk5xfQDKne0sAvZHSj7TI6I/edit?usp=sharing"",""พระนครศรีอยุธยา!N385"")+IMPORTRANGE(""https://docs.google.com/spreadsheets/d/1YXvxf8Yu6_rV4hTBrwMqAcAnv6DfhUxh5emyM3CJp_w/edit?usp=sharing"",""เพชรบุรี!N385"")+IMPORTRA"&amp;"NGE(""https://docs.google.com/spreadsheets/d/19KBlQQs7uwvsao6t2n-KvW3Ax8J8uRRfZPq1zPbXgKc/edit?usp=sharing"",""ระยอง!N385"")+IMPORTRANGE(""https://docs.google.com/spreadsheets/d/1jQ6P4QcrGM89YfqcC_PxOHGCMq5ezhucwJd8ci-NHng/edit?usp=sharing"",""ราชบุรี!N38"&amp;"5"")+IMPORTRANGE(""https://docs.google.com/spreadsheets/d/1lufeA2cfFqM-elVq2hznhDzC6Pr7wkJ9ZG_sYNGCMCU/edit?usp=sharing"",""ลพบุรี!N385"")+IMPORTRANGE(""https://docs.google.com/spreadsheets/d/10oOiF7loTyfsTkbd4MpaIm0HQ9SwB7IYHdIUvt-U1Uc/edit?usp=sharing"""&amp;",""สระแก้ว!N385"")+IMPORTRANGE(""https://docs.google.com/spreadsheets/d/1xmPlrr1QbdSIKvl1dWUl9K4PjAfSL9oeMr_37QVzcxc/edit?usp=sharing"",""สระบุรี!N385"")+IMPORTRANGE(""https://docs.google.com/spreadsheets/d/1j51vR6CYVGhABJpv6tkstgok82RLpXieLzW1yOY5rHw/edi"&amp;"t?usp=sharing"",""สิงห์บุรี!N385"")+IMPORTRANGE(""https://docs.google.com/spreadsheets/d/1H1EalTWKUSzO4Z1-1CwzoDUaVffgrThEBe2sl74kKG0/edit?usp=sharing"",""สุพรรณบุรี!N385"")+IMPORTRANGE(""https://docs.google.com/spreadsheets/d/1BmIruG_sIrJLYao_Pdr7zVArWsf"&amp;"oBt2692TMi6x_854/edit?usp=sharing"",""อ่างทอง!N385"")"),0)</f>
        <v>0</v>
      </c>
      <c r="O385" s="59">
        <f t="shared" ca="1" si="162"/>
        <v>0</v>
      </c>
      <c r="P385" s="59">
        <f t="shared" ca="1" si="163"/>
        <v>0</v>
      </c>
    </row>
    <row r="386" spans="1:16" ht="19.5" x14ac:dyDescent="0.3">
      <c r="A386" s="167"/>
      <c r="B386" s="168"/>
      <c r="C386" s="158" t="s">
        <v>16</v>
      </c>
      <c r="D386" s="169" t="s">
        <v>36</v>
      </c>
      <c r="E386" s="170"/>
      <c r="F386" s="170"/>
      <c r="G386" s="171"/>
      <c r="H386" s="172"/>
      <c r="I386" s="164"/>
      <c r="J386" s="57"/>
      <c r="K386" s="58"/>
      <c r="L386" s="58"/>
      <c r="M386" s="58"/>
      <c r="N386" s="58"/>
      <c r="O386" s="165"/>
      <c r="P386" s="165"/>
    </row>
    <row r="387" spans="1:16" ht="18.75" x14ac:dyDescent="0.25">
      <c r="A387" s="276"/>
      <c r="B387" s="53"/>
      <c r="C387" s="280"/>
      <c r="D387" s="195" t="s">
        <v>149</v>
      </c>
      <c r="E387" s="168"/>
      <c r="F387" s="53"/>
      <c r="G387" s="55"/>
      <c r="H387" s="279" t="s">
        <v>9</v>
      </c>
      <c r="I387" s="196">
        <v>0</v>
      </c>
      <c r="J387" s="196">
        <v>0</v>
      </c>
      <c r="K387" s="59">
        <f t="shared" ref="K387:K388" si="168">IF(I387&gt;0,J387*100/I387,0)</f>
        <v>0</v>
      </c>
      <c r="L387" s="58"/>
      <c r="M387" s="58"/>
      <c r="N387" s="58"/>
      <c r="O387" s="58"/>
      <c r="P387" s="58"/>
    </row>
    <row r="388" spans="1:16" ht="18.75" x14ac:dyDescent="0.25">
      <c r="A388" s="481"/>
      <c r="B388" s="71"/>
      <c r="C388" s="482"/>
      <c r="D388" s="483" t="s">
        <v>150</v>
      </c>
      <c r="E388" s="484"/>
      <c r="F388" s="71"/>
      <c r="G388" s="73"/>
      <c r="H388" s="485" t="s">
        <v>54</v>
      </c>
      <c r="I388" s="486">
        <v>0</v>
      </c>
      <c r="J388" s="486">
        <v>0</v>
      </c>
      <c r="K388" s="77">
        <f t="shared" si="168"/>
        <v>0</v>
      </c>
      <c r="L388" s="76"/>
      <c r="M388" s="76"/>
      <c r="N388" s="76"/>
      <c r="O388" s="76"/>
      <c r="P388" s="76"/>
    </row>
    <row r="389" spans="1:16" ht="12.75" x14ac:dyDescent="0.2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</row>
    <row r="390" spans="1:16" ht="16.5" x14ac:dyDescent="0.25">
      <c r="A390" s="488" t="s">
        <v>151</v>
      </c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</row>
    <row r="391" spans="1:16" ht="16.5" x14ac:dyDescent="0.25">
      <c r="A391" s="48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</row>
    <row r="392" spans="1:16" ht="12.75" x14ac:dyDescent="0.2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</row>
    <row r="393" spans="1:16" ht="12.75" x14ac:dyDescent="0.2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</row>
    <row r="394" spans="1:16" ht="12.75" x14ac:dyDescent="0.2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</row>
    <row r="395" spans="1:16" ht="12.75" x14ac:dyDescent="0.2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</row>
    <row r="396" spans="1:16" ht="12.75" x14ac:dyDescent="0.2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</row>
    <row r="397" spans="1:16" ht="12.75" x14ac:dyDescent="0.2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</row>
    <row r="398" spans="1:16" ht="12.75" x14ac:dyDescent="0.2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</row>
    <row r="399" spans="1:16" ht="12.75" x14ac:dyDescent="0.2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</row>
    <row r="400" spans="1:16" ht="12.75" x14ac:dyDescent="0.2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</row>
    <row r="401" spans="1:16" ht="12.75" x14ac:dyDescent="0.2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</row>
    <row r="402" spans="1:16" ht="12.75" x14ac:dyDescent="0.2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</row>
    <row r="403" spans="1:16" ht="12.75" x14ac:dyDescent="0.2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</row>
    <row r="404" spans="1:16" ht="12.75" x14ac:dyDescent="0.2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</row>
    <row r="405" spans="1:16" ht="12.75" x14ac:dyDescent="0.2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</row>
    <row r="406" spans="1:16" ht="12.75" x14ac:dyDescent="0.2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</row>
    <row r="407" spans="1:16" ht="12.75" x14ac:dyDescent="0.2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</row>
    <row r="408" spans="1:16" ht="12.75" x14ac:dyDescent="0.2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</row>
    <row r="409" spans="1:16" ht="12.75" x14ac:dyDescent="0.2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</row>
    <row r="410" spans="1:16" ht="12.75" x14ac:dyDescent="0.2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</row>
    <row r="411" spans="1:16" ht="12.75" x14ac:dyDescent="0.2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</row>
    <row r="412" spans="1:16" ht="12.75" x14ac:dyDescent="0.2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</row>
    <row r="413" spans="1:16" ht="12.75" x14ac:dyDescent="0.2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</row>
    <row r="414" spans="1:16" ht="12.75" x14ac:dyDescent="0.2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</row>
    <row r="415" spans="1:16" ht="12.75" x14ac:dyDescent="0.2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</row>
    <row r="416" spans="1:16" ht="12.75" x14ac:dyDescent="0.2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</row>
    <row r="417" spans="1:16" ht="12.75" x14ac:dyDescent="0.2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</row>
    <row r="418" spans="1:16" ht="12.75" x14ac:dyDescent="0.2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</row>
    <row r="419" spans="1:16" ht="12.75" x14ac:dyDescent="0.2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</row>
    <row r="420" spans="1:16" ht="12.75" x14ac:dyDescent="0.2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</row>
    <row r="421" spans="1:16" ht="12.75" x14ac:dyDescent="0.2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</row>
    <row r="422" spans="1:16" ht="12.75" x14ac:dyDescent="0.2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</row>
    <row r="423" spans="1:16" ht="12.75" x14ac:dyDescent="0.2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</row>
    <row r="424" spans="1:16" ht="12.75" x14ac:dyDescent="0.2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</row>
    <row r="425" spans="1:16" ht="12.75" x14ac:dyDescent="0.2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</row>
    <row r="426" spans="1:16" ht="12.75" x14ac:dyDescent="0.2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</row>
    <row r="427" spans="1:16" ht="12.75" x14ac:dyDescent="0.2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</row>
    <row r="428" spans="1:16" ht="12.75" x14ac:dyDescent="0.2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</row>
    <row r="429" spans="1:16" ht="12.75" x14ac:dyDescent="0.2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</row>
    <row r="430" spans="1:16" ht="12.75" x14ac:dyDescent="0.2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</row>
    <row r="431" spans="1:16" ht="12.75" x14ac:dyDescent="0.2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</row>
    <row r="432" spans="1:16" ht="12.75" x14ac:dyDescent="0.2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</row>
    <row r="433" spans="1:16" ht="12.75" x14ac:dyDescent="0.2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</row>
    <row r="434" spans="1:16" ht="12.75" x14ac:dyDescent="0.2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</row>
    <row r="435" spans="1:16" ht="12.75" x14ac:dyDescent="0.2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</row>
    <row r="436" spans="1:16" ht="12.75" x14ac:dyDescent="0.2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</row>
    <row r="437" spans="1:16" ht="12.75" x14ac:dyDescent="0.2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</row>
    <row r="438" spans="1:16" ht="12.75" x14ac:dyDescent="0.2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</row>
    <row r="439" spans="1:16" ht="12.75" x14ac:dyDescent="0.2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</row>
    <row r="440" spans="1:16" ht="12.75" x14ac:dyDescent="0.2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</row>
    <row r="441" spans="1:16" ht="12.75" x14ac:dyDescent="0.2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</row>
    <row r="442" spans="1:16" ht="12.75" x14ac:dyDescent="0.2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</row>
    <row r="443" spans="1:16" ht="12.75" x14ac:dyDescent="0.2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</row>
    <row r="444" spans="1:16" ht="12.75" x14ac:dyDescent="0.2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</row>
    <row r="445" spans="1:16" ht="12.75" x14ac:dyDescent="0.2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</row>
    <row r="446" spans="1:16" ht="12.75" x14ac:dyDescent="0.2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</row>
    <row r="447" spans="1:16" ht="12.75" x14ac:dyDescent="0.2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</row>
    <row r="448" spans="1:16" ht="12.75" x14ac:dyDescent="0.2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</row>
    <row r="449" spans="1:16" ht="12.75" x14ac:dyDescent="0.2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</row>
    <row r="450" spans="1:16" ht="12.75" x14ac:dyDescent="0.2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</row>
    <row r="451" spans="1:16" ht="12.75" x14ac:dyDescent="0.2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</row>
    <row r="452" spans="1:16" ht="12.75" x14ac:dyDescent="0.2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</row>
    <row r="453" spans="1:16" ht="12.75" x14ac:dyDescent="0.2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</row>
    <row r="454" spans="1:16" ht="12.75" x14ac:dyDescent="0.2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</row>
    <row r="455" spans="1:16" ht="12.75" x14ac:dyDescent="0.2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</row>
    <row r="456" spans="1:16" ht="12.75" x14ac:dyDescent="0.2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</row>
    <row r="457" spans="1:16" ht="12.75" x14ac:dyDescent="0.2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</row>
    <row r="458" spans="1:16" ht="12.75" x14ac:dyDescent="0.2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</row>
    <row r="459" spans="1:16" ht="12.75" x14ac:dyDescent="0.2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</row>
    <row r="460" spans="1:16" ht="12.75" x14ac:dyDescent="0.2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</row>
    <row r="461" spans="1:16" ht="12.75" x14ac:dyDescent="0.2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</row>
    <row r="462" spans="1:16" ht="12.75" x14ac:dyDescent="0.2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</row>
    <row r="463" spans="1:16" ht="12.75" x14ac:dyDescent="0.2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</row>
    <row r="464" spans="1:16" ht="12.75" x14ac:dyDescent="0.2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</row>
    <row r="465" spans="1:16" ht="12.75" x14ac:dyDescent="0.2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</row>
    <row r="466" spans="1:16" ht="12.75" x14ac:dyDescent="0.2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</row>
    <row r="467" spans="1:16" ht="12.75" x14ac:dyDescent="0.2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</row>
    <row r="468" spans="1:16" ht="12.75" x14ac:dyDescent="0.2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</row>
    <row r="469" spans="1:16" ht="12.75" x14ac:dyDescent="0.2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</row>
    <row r="470" spans="1:16" ht="12.75" x14ac:dyDescent="0.2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</row>
    <row r="471" spans="1:16" ht="12.75" x14ac:dyDescent="0.2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</row>
    <row r="472" spans="1:16" ht="12.75" x14ac:dyDescent="0.2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</row>
    <row r="473" spans="1:16" ht="12.75" x14ac:dyDescent="0.2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</row>
    <row r="474" spans="1:16" ht="12.75" x14ac:dyDescent="0.2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</row>
    <row r="475" spans="1:16" ht="12.75" x14ac:dyDescent="0.2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</row>
    <row r="476" spans="1:16" ht="12.75" x14ac:dyDescent="0.2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</row>
    <row r="477" spans="1:16" ht="12.75" x14ac:dyDescent="0.2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</row>
    <row r="478" spans="1:16" ht="12.75" x14ac:dyDescent="0.2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</row>
    <row r="479" spans="1:16" ht="12.75" x14ac:dyDescent="0.2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</row>
    <row r="480" spans="1:16" ht="12.75" x14ac:dyDescent="0.2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</row>
    <row r="481" spans="1:16" ht="12.75" x14ac:dyDescent="0.2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</row>
    <row r="482" spans="1:16" ht="12.75" x14ac:dyDescent="0.2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</row>
    <row r="483" spans="1:16" ht="12.75" x14ac:dyDescent="0.2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</row>
    <row r="484" spans="1:16" ht="12.75" x14ac:dyDescent="0.2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</row>
    <row r="485" spans="1:16" ht="12.75" x14ac:dyDescent="0.2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</row>
    <row r="486" spans="1:16" ht="12.75" x14ac:dyDescent="0.2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</row>
    <row r="487" spans="1:16" ht="12.75" x14ac:dyDescent="0.2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</row>
    <row r="488" spans="1:16" ht="12.75" x14ac:dyDescent="0.2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</row>
    <row r="489" spans="1:16" ht="12.75" x14ac:dyDescent="0.2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</row>
    <row r="490" spans="1:16" ht="12.75" x14ac:dyDescent="0.2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</row>
    <row r="491" spans="1:16" ht="12.75" x14ac:dyDescent="0.2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</row>
    <row r="492" spans="1:16" ht="12.75" x14ac:dyDescent="0.2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</row>
    <row r="493" spans="1:16" ht="12.75" x14ac:dyDescent="0.2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</row>
    <row r="494" spans="1:16" ht="12.75" x14ac:dyDescent="0.2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</row>
    <row r="495" spans="1:16" ht="12.75" x14ac:dyDescent="0.2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</row>
    <row r="496" spans="1:16" ht="12.75" x14ac:dyDescent="0.2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</row>
    <row r="497" spans="1:16" ht="12.75" x14ac:dyDescent="0.2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</row>
    <row r="498" spans="1:16" ht="12.75" x14ac:dyDescent="0.2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</row>
    <row r="499" spans="1:16" ht="12.75" x14ac:dyDescent="0.2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</row>
    <row r="500" spans="1:16" ht="12.75" x14ac:dyDescent="0.2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</row>
    <row r="501" spans="1:16" ht="12.75" x14ac:dyDescent="0.2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</row>
    <row r="502" spans="1:16" ht="12.75" x14ac:dyDescent="0.2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</row>
    <row r="503" spans="1:16" ht="12.75" x14ac:dyDescent="0.2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</row>
    <row r="504" spans="1:16" ht="12.75" x14ac:dyDescent="0.2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</row>
    <row r="505" spans="1:16" ht="12.75" x14ac:dyDescent="0.2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</row>
    <row r="506" spans="1:16" ht="12.75" x14ac:dyDescent="0.2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</row>
    <row r="507" spans="1:16" ht="12.75" x14ac:dyDescent="0.2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</row>
    <row r="508" spans="1:16" ht="12.75" x14ac:dyDescent="0.2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</row>
    <row r="509" spans="1:16" ht="12.75" x14ac:dyDescent="0.2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</row>
    <row r="510" spans="1:16" ht="12.75" x14ac:dyDescent="0.2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</row>
    <row r="511" spans="1:16" ht="12.75" x14ac:dyDescent="0.2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</row>
    <row r="512" spans="1:16" ht="12.75" x14ac:dyDescent="0.2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</row>
    <row r="513" spans="1:16" ht="12.75" x14ac:dyDescent="0.2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</row>
    <row r="514" spans="1:16" ht="12.75" x14ac:dyDescent="0.2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</row>
    <row r="515" spans="1:16" ht="12.75" x14ac:dyDescent="0.2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</row>
    <row r="516" spans="1:16" ht="12.75" x14ac:dyDescent="0.2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</row>
    <row r="517" spans="1:16" ht="12.75" x14ac:dyDescent="0.2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</row>
    <row r="518" spans="1:16" ht="12.75" x14ac:dyDescent="0.2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</row>
    <row r="519" spans="1:16" ht="12.75" x14ac:dyDescent="0.2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</row>
    <row r="520" spans="1:16" ht="12.75" x14ac:dyDescent="0.2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</row>
    <row r="521" spans="1:16" ht="12.75" x14ac:dyDescent="0.2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</row>
    <row r="522" spans="1:16" ht="12.75" x14ac:dyDescent="0.2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</row>
    <row r="523" spans="1:16" ht="12.75" x14ac:dyDescent="0.2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</row>
    <row r="524" spans="1:16" ht="12.75" x14ac:dyDescent="0.2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</row>
    <row r="525" spans="1:16" ht="12.75" x14ac:dyDescent="0.2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</row>
    <row r="526" spans="1:16" ht="12.75" x14ac:dyDescent="0.2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</row>
    <row r="527" spans="1:16" ht="12.75" x14ac:dyDescent="0.2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</row>
    <row r="528" spans="1:16" ht="12.75" x14ac:dyDescent="0.2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</row>
    <row r="529" spans="1:16" ht="12.75" x14ac:dyDescent="0.2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</row>
    <row r="530" spans="1:16" ht="12.75" x14ac:dyDescent="0.2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</row>
    <row r="531" spans="1:16" ht="12.75" x14ac:dyDescent="0.2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</row>
    <row r="532" spans="1:16" ht="12.75" x14ac:dyDescent="0.2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</row>
    <row r="533" spans="1:16" ht="12.75" x14ac:dyDescent="0.2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</row>
    <row r="534" spans="1:16" ht="12.75" x14ac:dyDescent="0.2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</row>
    <row r="535" spans="1:16" ht="12.75" x14ac:dyDescent="0.2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</row>
    <row r="536" spans="1:16" ht="12.75" x14ac:dyDescent="0.2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</row>
    <row r="537" spans="1:16" ht="12.75" x14ac:dyDescent="0.2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</row>
    <row r="538" spans="1:16" ht="12.75" x14ac:dyDescent="0.2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</row>
    <row r="539" spans="1:16" ht="12.75" x14ac:dyDescent="0.2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</row>
    <row r="540" spans="1:16" ht="12.75" x14ac:dyDescent="0.2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</row>
    <row r="541" spans="1:16" ht="12.75" x14ac:dyDescent="0.2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</row>
    <row r="542" spans="1:16" ht="12.75" x14ac:dyDescent="0.2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</row>
    <row r="543" spans="1:16" ht="12.75" x14ac:dyDescent="0.2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</row>
    <row r="544" spans="1:16" ht="12.75" x14ac:dyDescent="0.2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</row>
    <row r="545" spans="1:16" ht="12.75" x14ac:dyDescent="0.2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</row>
  </sheetData>
  <mergeCells count="12">
    <mergeCell ref="L5:M5"/>
    <mergeCell ref="N5:P5"/>
    <mergeCell ref="A1:P1"/>
    <mergeCell ref="A2:P2"/>
    <mergeCell ref="A3:P3"/>
    <mergeCell ref="A5:G6"/>
    <mergeCell ref="I5:K5"/>
    <mergeCell ref="A7:G7"/>
    <mergeCell ref="A17:G17"/>
    <mergeCell ref="A30:G30"/>
    <mergeCell ref="A56:G56"/>
    <mergeCell ref="B57:G57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D574-E671-43D1-9EB3-2DFCE35AB8B6}">
  <sheetPr>
    <outlinePr summaryBelow="0" summaryRight="0"/>
    <pageSetUpPr fitToPage="1"/>
  </sheetPr>
  <dimension ref="A1:P545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</row>
    <row r="2" spans="1:16" ht="19.5" x14ac:dyDescent="0.3">
      <c r="A2" s="501" t="s">
        <v>156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</row>
    <row r="3" spans="1:16" ht="19.5" x14ac:dyDescent="0.3">
      <c r="A3" s="501" t="s">
        <v>187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</row>
    <row r="4" spans="1:16" ht="12.75" x14ac:dyDescent="0.2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2"/>
      <c r="M4" s="2"/>
      <c r="N4" s="2"/>
      <c r="O4" s="1"/>
      <c r="P4" s="1"/>
    </row>
    <row r="5" spans="1:16" ht="19.5" x14ac:dyDescent="0.3">
      <c r="A5" s="503" t="s">
        <v>2</v>
      </c>
      <c r="B5" s="504"/>
      <c r="C5" s="504"/>
      <c r="D5" s="504"/>
      <c r="E5" s="504"/>
      <c r="F5" s="504"/>
      <c r="G5" s="505"/>
      <c r="H5" s="4" t="s">
        <v>3</v>
      </c>
      <c r="I5" s="507" t="s">
        <v>4</v>
      </c>
      <c r="J5" s="491"/>
      <c r="K5" s="492"/>
      <c r="L5" s="508" t="s">
        <v>5</v>
      </c>
      <c r="M5" s="492"/>
      <c r="N5" s="509" t="s">
        <v>6</v>
      </c>
      <c r="O5" s="491"/>
      <c r="P5" s="492"/>
    </row>
    <row r="6" spans="1:16" ht="19.5" x14ac:dyDescent="0.3">
      <c r="A6" s="506"/>
      <c r="B6" s="494"/>
      <c r="C6" s="494"/>
      <c r="D6" s="494"/>
      <c r="E6" s="494"/>
      <c r="F6" s="494"/>
      <c r="G6" s="495"/>
      <c r="H6" s="5"/>
      <c r="I6" s="6" t="s">
        <v>7</v>
      </c>
      <c r="J6" s="7" t="s">
        <v>8</v>
      </c>
      <c r="K6" s="6" t="s">
        <v>9</v>
      </c>
      <c r="L6" s="8" t="s">
        <v>10</v>
      </c>
      <c r="M6" s="9" t="s">
        <v>11</v>
      </c>
      <c r="N6" s="10" t="s">
        <v>12</v>
      </c>
      <c r="O6" s="11" t="s">
        <v>13</v>
      </c>
      <c r="P6" s="12" t="s">
        <v>14</v>
      </c>
    </row>
    <row r="7" spans="1:16" ht="19.5" hidden="1" x14ac:dyDescent="0.3">
      <c r="A7" s="694"/>
      <c r="B7" s="491"/>
      <c r="C7" s="491"/>
      <c r="D7" s="491"/>
      <c r="E7" s="491"/>
      <c r="F7" s="491"/>
      <c r="G7" s="492"/>
      <c r="H7" s="693"/>
      <c r="I7" s="692"/>
      <c r="J7" s="692"/>
      <c r="K7" s="691"/>
      <c r="L7" s="691"/>
      <c r="M7" s="691"/>
      <c r="N7" s="691"/>
      <c r="O7" s="691"/>
      <c r="P7" s="691"/>
    </row>
    <row r="8" spans="1:16" ht="19.5" hidden="1" x14ac:dyDescent="0.3">
      <c r="A8" s="678"/>
      <c r="B8" s="189"/>
      <c r="C8" s="197"/>
      <c r="D8" s="680"/>
      <c r="E8" s="189"/>
      <c r="F8" s="189"/>
      <c r="G8" s="190"/>
      <c r="H8" s="204"/>
      <c r="I8" s="198"/>
      <c r="J8" s="198"/>
      <c r="K8" s="200"/>
      <c r="L8" s="206"/>
      <c r="M8" s="206"/>
      <c r="N8" s="206"/>
      <c r="O8" s="206"/>
      <c r="P8" s="206"/>
    </row>
    <row r="9" spans="1:16" ht="18.75" hidden="1" x14ac:dyDescent="0.25">
      <c r="A9" s="678"/>
      <c r="B9" s="189"/>
      <c r="C9" s="189"/>
      <c r="D9" s="189"/>
      <c r="E9" s="188"/>
      <c r="F9" s="189"/>
      <c r="G9" s="190"/>
      <c r="H9" s="191"/>
      <c r="I9" s="198"/>
      <c r="J9" s="198"/>
      <c r="K9" s="200"/>
      <c r="L9" s="193"/>
      <c r="M9" s="193"/>
      <c r="N9" s="193"/>
      <c r="O9" s="193"/>
      <c r="P9" s="193"/>
    </row>
    <row r="10" spans="1:16" ht="18.75" hidden="1" x14ac:dyDescent="0.25">
      <c r="A10" s="678"/>
      <c r="B10" s="189"/>
      <c r="C10" s="189"/>
      <c r="D10" s="189"/>
      <c r="E10" s="188"/>
      <c r="F10" s="189"/>
      <c r="G10" s="190"/>
      <c r="H10" s="191"/>
      <c r="I10" s="198"/>
      <c r="J10" s="198"/>
      <c r="K10" s="200"/>
      <c r="L10" s="193"/>
      <c r="M10" s="193"/>
      <c r="N10" s="193"/>
      <c r="O10" s="193"/>
      <c r="P10" s="193"/>
    </row>
    <row r="11" spans="1:16" ht="18.75" hidden="1" x14ac:dyDescent="0.25">
      <c r="A11" s="678"/>
      <c r="B11" s="189"/>
      <c r="C11" s="189"/>
      <c r="D11" s="679"/>
      <c r="E11" s="189"/>
      <c r="F11" s="189"/>
      <c r="G11" s="190"/>
      <c r="H11" s="191"/>
      <c r="I11" s="198"/>
      <c r="J11" s="198"/>
      <c r="K11" s="200"/>
      <c r="L11" s="193"/>
      <c r="M11" s="193"/>
      <c r="N11" s="193"/>
      <c r="O11" s="193"/>
      <c r="P11" s="193"/>
    </row>
    <row r="12" spans="1:16" ht="18.75" hidden="1" x14ac:dyDescent="0.25">
      <c r="A12" s="678"/>
      <c r="B12" s="189"/>
      <c r="C12" s="189"/>
      <c r="D12" s="189"/>
      <c r="E12" s="188"/>
      <c r="F12" s="189"/>
      <c r="G12" s="190"/>
      <c r="H12" s="191"/>
      <c r="I12" s="198"/>
      <c r="J12" s="198"/>
      <c r="K12" s="200"/>
      <c r="L12" s="193"/>
      <c r="M12" s="193"/>
      <c r="N12" s="193"/>
      <c r="O12" s="193"/>
      <c r="P12" s="193"/>
    </row>
    <row r="13" spans="1:16" ht="18.75" hidden="1" x14ac:dyDescent="0.25">
      <c r="A13" s="678"/>
      <c r="B13" s="189"/>
      <c r="C13" s="189"/>
      <c r="D13" s="189"/>
      <c r="E13" s="188"/>
      <c r="F13" s="189"/>
      <c r="G13" s="190"/>
      <c r="H13" s="191"/>
      <c r="I13" s="198"/>
      <c r="J13" s="198"/>
      <c r="K13" s="200"/>
      <c r="L13" s="193"/>
      <c r="M13" s="193"/>
      <c r="N13" s="193"/>
      <c r="O13" s="193"/>
      <c r="P13" s="193"/>
    </row>
    <row r="14" spans="1:16" ht="18.75" hidden="1" x14ac:dyDescent="0.25">
      <c r="A14" s="678"/>
      <c r="B14" s="189"/>
      <c r="C14" s="189"/>
      <c r="D14" s="679"/>
      <c r="E14" s="189"/>
      <c r="F14" s="189"/>
      <c r="G14" s="190"/>
      <c r="H14" s="191"/>
      <c r="I14" s="198"/>
      <c r="J14" s="198"/>
      <c r="K14" s="200"/>
      <c r="L14" s="193"/>
      <c r="M14" s="193"/>
      <c r="N14" s="193"/>
      <c r="O14" s="193"/>
      <c r="P14" s="193"/>
    </row>
    <row r="15" spans="1:16" ht="18.75" hidden="1" x14ac:dyDescent="0.25">
      <c r="A15" s="678"/>
      <c r="B15" s="189"/>
      <c r="C15" s="189"/>
      <c r="D15" s="189"/>
      <c r="E15" s="188"/>
      <c r="F15" s="189"/>
      <c r="G15" s="190"/>
      <c r="H15" s="191"/>
      <c r="I15" s="198"/>
      <c r="J15" s="198"/>
      <c r="K15" s="200"/>
      <c r="L15" s="193"/>
      <c r="M15" s="193"/>
      <c r="N15" s="193"/>
      <c r="O15" s="193"/>
      <c r="P15" s="193"/>
    </row>
    <row r="16" spans="1:16" ht="18.75" hidden="1" x14ac:dyDescent="0.25">
      <c r="A16" s="677"/>
      <c r="B16" s="675"/>
      <c r="C16" s="675"/>
      <c r="D16" s="675"/>
      <c r="E16" s="676"/>
      <c r="F16" s="675"/>
      <c r="G16" s="674"/>
      <c r="H16" s="673"/>
      <c r="I16" s="672"/>
      <c r="J16" s="672"/>
      <c r="K16" s="671"/>
      <c r="L16" s="670"/>
      <c r="M16" s="670"/>
      <c r="N16" s="670"/>
      <c r="O16" s="670"/>
      <c r="P16" s="670"/>
    </row>
    <row r="17" spans="1:16" ht="19.5" x14ac:dyDescent="0.3">
      <c r="A17" s="493" t="s">
        <v>15</v>
      </c>
      <c r="B17" s="494"/>
      <c r="C17" s="494"/>
      <c r="D17" s="494"/>
      <c r="E17" s="494"/>
      <c r="F17" s="494"/>
      <c r="G17" s="495"/>
      <c r="H17" s="37"/>
      <c r="I17" s="38"/>
      <c r="J17" s="38"/>
      <c r="K17" s="39"/>
      <c r="L17" s="39"/>
      <c r="M17" s="39"/>
      <c r="N17" s="39"/>
      <c r="O17" s="39"/>
      <c r="P17" s="39"/>
    </row>
    <row r="18" spans="1:16" ht="19.5" x14ac:dyDescent="0.3">
      <c r="A18" s="40"/>
      <c r="B18" s="41"/>
      <c r="C18" s="153" t="s">
        <v>16</v>
      </c>
      <c r="D18" s="690" t="s">
        <v>17</v>
      </c>
      <c r="E18" s="41"/>
      <c r="F18" s="41"/>
      <c r="G18" s="44"/>
      <c r="H18" s="45" t="s">
        <v>12</v>
      </c>
      <c r="I18" s="46"/>
      <c r="J18" s="46"/>
      <c r="K18" s="47"/>
      <c r="L18" s="48">
        <f ca="1">L19+L20</f>
        <v>2247803</v>
      </c>
      <c r="M18" s="48">
        <f ca="1">M19+M20</f>
        <v>1889220</v>
      </c>
      <c r="N18" s="48">
        <f ca="1">N19+N20</f>
        <v>744443.19</v>
      </c>
      <c r="O18" s="48">
        <f ca="1">IF(L18&gt;0,N18*100/L18,0)</f>
        <v>33.118702573134748</v>
      </c>
      <c r="P18" s="48">
        <f ca="1">IF(M18&gt;0,N18*100/M18,0)</f>
        <v>39.404790866071714</v>
      </c>
    </row>
    <row r="19" spans="1:16" ht="18.75" hidden="1" x14ac:dyDescent="0.25">
      <c r="A19" s="689"/>
      <c r="B19" s="687"/>
      <c r="C19" s="687"/>
      <c r="D19" s="687"/>
      <c r="E19" s="688" t="s">
        <v>18</v>
      </c>
      <c r="F19" s="687"/>
      <c r="G19" s="686"/>
      <c r="H19" s="685" t="s">
        <v>12</v>
      </c>
      <c r="I19" s="684"/>
      <c r="J19" s="684"/>
      <c r="K19" s="683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40"/>
      <c r="B20" s="41"/>
      <c r="C20" s="41"/>
      <c r="D20" s="41"/>
      <c r="E20" s="49" t="s">
        <v>19</v>
      </c>
      <c r="F20" s="41"/>
      <c r="G20" s="44"/>
      <c r="H20" s="50" t="s">
        <v>12</v>
      </c>
      <c r="I20" s="46"/>
      <c r="J20" s="46"/>
      <c r="K20" s="47"/>
      <c r="L20" s="51">
        <f ca="1">L23+L26</f>
        <v>2247803</v>
      </c>
      <c r="M20" s="51">
        <f ca="1">M23+M26</f>
        <v>1889220</v>
      </c>
      <c r="N20" s="51">
        <f ca="1">N23+N26</f>
        <v>744443.19</v>
      </c>
      <c r="O20" s="51">
        <f ca="1">IF(L20&gt;0,N20*100/L20,0)</f>
        <v>33.118702573134748</v>
      </c>
      <c r="P20" s="51">
        <f ca="1">IF(M20&gt;0,N20*100/M20,0)</f>
        <v>39.404790866071714</v>
      </c>
    </row>
    <row r="21" spans="1:16" ht="18.75" x14ac:dyDescent="0.25">
      <c r="A21" s="52"/>
      <c r="B21" s="53"/>
      <c r="C21" s="53"/>
      <c r="D21" s="573" t="s">
        <v>20</v>
      </c>
      <c r="E21" s="53"/>
      <c r="F21" s="53"/>
      <c r="G21" s="55"/>
      <c r="H21" s="56" t="s">
        <v>12</v>
      </c>
      <c r="I21" s="57"/>
      <c r="J21" s="57"/>
      <c r="K21" s="58"/>
      <c r="L21" s="61">
        <f ca="1">L22+L23</f>
        <v>2247803</v>
      </c>
      <c r="M21" s="61">
        <f ca="1">M22+M23</f>
        <v>1889220</v>
      </c>
      <c r="N21" s="61">
        <f ca="1">N22+N23</f>
        <v>744443.19</v>
      </c>
      <c r="O21" s="61">
        <f ca="1">IF(L21&gt;0,N21*100/L21,0)</f>
        <v>33.118702573134748</v>
      </c>
      <c r="P21" s="61">
        <f ca="1">IF(M21&gt;0,N21*100/M21,0)</f>
        <v>39.404790866071714</v>
      </c>
    </row>
    <row r="22" spans="1:16" ht="18.75" hidden="1" x14ac:dyDescent="0.25">
      <c r="A22" s="634"/>
      <c r="B22" s="526"/>
      <c r="C22" s="526"/>
      <c r="D22" s="526"/>
      <c r="E22" s="540" t="s">
        <v>18</v>
      </c>
      <c r="F22" s="526"/>
      <c r="G22" s="525"/>
      <c r="H22" s="579" t="s">
        <v>12</v>
      </c>
      <c r="I22" s="199"/>
      <c r="J22" s="199"/>
      <c r="K22" s="521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52"/>
      <c r="B23" s="53"/>
      <c r="C23" s="53"/>
      <c r="D23" s="53"/>
      <c r="E23" s="336" t="s">
        <v>19</v>
      </c>
      <c r="F23" s="53"/>
      <c r="G23" s="55"/>
      <c r="H23" s="56" t="s">
        <v>12</v>
      </c>
      <c r="I23" s="57"/>
      <c r="J23" s="57"/>
      <c r="K23" s="58"/>
      <c r="L23" s="61">
        <f ca="1">L49+L64+L77+L99+L130+L144+L162+L191+L178+L271+L287+L308+L325+L338+L361+L382</f>
        <v>2247803</v>
      </c>
      <c r="M23" s="61">
        <f ca="1">M49+M64+M77+M99+M130+M144+M162+M191+M178+M271+M287+M308+M325+M338+M361+M382</f>
        <v>1889220</v>
      </c>
      <c r="N23" s="61">
        <f ca="1">N49+N64+N77+N99+N130+N144+N162+N191+N178+N271+N287+N308+N325+N338+N361+N382</f>
        <v>744443.19</v>
      </c>
      <c r="O23" s="61">
        <f ca="1">IF(L23&gt;0,N23*100/L23,0)</f>
        <v>33.118702573134748</v>
      </c>
      <c r="P23" s="61">
        <f ca="1">IF(M23&gt;0,N23*100/M23,0)</f>
        <v>39.404790866071714</v>
      </c>
    </row>
    <row r="24" spans="1:16" ht="18.75" x14ac:dyDescent="0.25">
      <c r="A24" s="52"/>
      <c r="B24" s="53"/>
      <c r="C24" s="53"/>
      <c r="D24" s="573" t="s">
        <v>21</v>
      </c>
      <c r="E24" s="53"/>
      <c r="F24" s="53"/>
      <c r="G24" s="55"/>
      <c r="H24" s="56" t="s">
        <v>12</v>
      </c>
      <c r="I24" s="57"/>
      <c r="J24" s="57"/>
      <c r="K24" s="58"/>
      <c r="L24" s="61">
        <f ca="1">L25+L26</f>
        <v>0</v>
      </c>
      <c r="M24" s="61">
        <f ca="1">M25+M26</f>
        <v>0</v>
      </c>
      <c r="N24" s="61">
        <f ca="1">N25+N26</f>
        <v>0</v>
      </c>
      <c r="O24" s="61">
        <f ca="1">IF(L24&gt;0,N24*100/L24,0)</f>
        <v>0</v>
      </c>
      <c r="P24" s="61">
        <f ca="1">IF(M24&gt;0,N24*100/M24,0)</f>
        <v>0</v>
      </c>
    </row>
    <row r="25" spans="1:16" ht="18.75" hidden="1" x14ac:dyDescent="0.25">
      <c r="A25" s="634"/>
      <c r="B25" s="526"/>
      <c r="C25" s="526"/>
      <c r="D25" s="526"/>
      <c r="E25" s="540" t="s">
        <v>18</v>
      </c>
      <c r="F25" s="526"/>
      <c r="G25" s="525"/>
      <c r="H25" s="579" t="s">
        <v>12</v>
      </c>
      <c r="I25" s="199"/>
      <c r="J25" s="199"/>
      <c r="K25" s="521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52"/>
      <c r="B26" s="53"/>
      <c r="C26" s="53"/>
      <c r="D26" s="53"/>
      <c r="E26" s="336" t="s">
        <v>19</v>
      </c>
      <c r="F26" s="53"/>
      <c r="G26" s="55"/>
      <c r="H26" s="56" t="s">
        <v>12</v>
      </c>
      <c r="I26" s="57"/>
      <c r="J26" s="57"/>
      <c r="K26" s="58"/>
      <c r="L26" s="61">
        <f ca="1">L52+L67+L80+L102+L133+L147+L165+L194+L181+L274+L290+L311+L328+L341+L364+L385</f>
        <v>0</v>
      </c>
      <c r="M26" s="61">
        <f ca="1">M52+M67+M80+M102+M133+M147+M165+M194+M181+M274+M290+M311+M328+M341+M364+M385</f>
        <v>0</v>
      </c>
      <c r="N26" s="61">
        <f ca="1">N52+N67+N80+N102+N133+N147+N165+N194+N181+N274+N290+N311+N328+N341+N364+N385</f>
        <v>0</v>
      </c>
      <c r="O26" s="61">
        <f ca="1">IF(L26&gt;0,N26*100/L26,0)</f>
        <v>0</v>
      </c>
      <c r="P26" s="61">
        <f ca="1">IF(M26&gt;0,N26*100/M26,0)</f>
        <v>0</v>
      </c>
    </row>
    <row r="27" spans="1:16" ht="18.75" hidden="1" x14ac:dyDescent="0.25">
      <c r="A27" s="660"/>
      <c r="B27" s="658"/>
      <c r="C27" s="658"/>
      <c r="D27" s="659" t="s">
        <v>22</v>
      </c>
      <c r="E27" s="658"/>
      <c r="F27" s="658"/>
      <c r="G27" s="657"/>
      <c r="H27" s="656" t="s">
        <v>12</v>
      </c>
      <c r="I27" s="655"/>
      <c r="J27" s="655"/>
      <c r="K27" s="654"/>
      <c r="L27" s="653"/>
      <c r="M27" s="653"/>
      <c r="N27" s="653"/>
      <c r="O27" s="653"/>
      <c r="P27" s="653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9.5" hidden="1" x14ac:dyDescent="0.3">
      <c r="A30" s="681"/>
      <c r="B30" s="494"/>
      <c r="C30" s="494"/>
      <c r="D30" s="494"/>
      <c r="E30" s="494"/>
      <c r="F30" s="494"/>
      <c r="G30" s="495"/>
      <c r="H30" s="674"/>
      <c r="I30" s="672"/>
      <c r="J30" s="672"/>
      <c r="K30" s="671"/>
      <c r="L30" s="671"/>
      <c r="M30" s="671"/>
      <c r="N30" s="671"/>
      <c r="O30" s="671"/>
      <c r="P30" s="671"/>
    </row>
    <row r="31" spans="1:16" ht="19.5" hidden="1" x14ac:dyDescent="0.3">
      <c r="A31" s="678"/>
      <c r="B31" s="189"/>
      <c r="C31" s="197"/>
      <c r="D31" s="680"/>
      <c r="E31" s="189"/>
      <c r="F31" s="189"/>
      <c r="G31" s="190"/>
      <c r="H31" s="204"/>
      <c r="I31" s="198"/>
      <c r="J31" s="198"/>
      <c r="K31" s="200"/>
      <c r="L31" s="206"/>
      <c r="M31" s="206"/>
      <c r="N31" s="206"/>
      <c r="O31" s="206"/>
      <c r="P31" s="206"/>
    </row>
    <row r="32" spans="1:16" ht="18.75" hidden="1" x14ac:dyDescent="0.25">
      <c r="A32" s="678"/>
      <c r="B32" s="189"/>
      <c r="C32" s="189"/>
      <c r="D32" s="189"/>
      <c r="E32" s="188"/>
      <c r="F32" s="189"/>
      <c r="G32" s="190"/>
      <c r="H32" s="191"/>
      <c r="I32" s="198"/>
      <c r="J32" s="198"/>
      <c r="K32" s="200"/>
      <c r="L32" s="193"/>
      <c r="M32" s="193"/>
      <c r="N32" s="193"/>
      <c r="O32" s="193"/>
      <c r="P32" s="193"/>
    </row>
    <row r="33" spans="1:16" ht="18.75" hidden="1" x14ac:dyDescent="0.25">
      <c r="A33" s="678"/>
      <c r="B33" s="189"/>
      <c r="C33" s="189"/>
      <c r="D33" s="189"/>
      <c r="E33" s="188"/>
      <c r="F33" s="189"/>
      <c r="G33" s="190"/>
      <c r="H33" s="191"/>
      <c r="I33" s="198"/>
      <c r="J33" s="198"/>
      <c r="K33" s="200"/>
      <c r="L33" s="193"/>
      <c r="M33" s="193"/>
      <c r="N33" s="193"/>
      <c r="O33" s="193"/>
      <c r="P33" s="193"/>
    </row>
    <row r="34" spans="1:16" ht="18.75" hidden="1" x14ac:dyDescent="0.25">
      <c r="A34" s="678"/>
      <c r="B34" s="189"/>
      <c r="C34" s="189"/>
      <c r="D34" s="679"/>
      <c r="E34" s="189"/>
      <c r="F34" s="189"/>
      <c r="G34" s="190"/>
      <c r="H34" s="191"/>
      <c r="I34" s="198"/>
      <c r="J34" s="198"/>
      <c r="K34" s="200"/>
      <c r="L34" s="193"/>
      <c r="M34" s="193"/>
      <c r="N34" s="193"/>
      <c r="O34" s="193"/>
      <c r="P34" s="193"/>
    </row>
    <row r="35" spans="1:16" ht="18.75" hidden="1" x14ac:dyDescent="0.25">
      <c r="A35" s="678"/>
      <c r="B35" s="189"/>
      <c r="C35" s="189"/>
      <c r="D35" s="189"/>
      <c r="E35" s="188"/>
      <c r="F35" s="189"/>
      <c r="G35" s="190"/>
      <c r="H35" s="191"/>
      <c r="I35" s="198"/>
      <c r="J35" s="198"/>
      <c r="K35" s="200"/>
      <c r="L35" s="193"/>
      <c r="M35" s="193"/>
      <c r="N35" s="193"/>
      <c r="O35" s="193"/>
      <c r="P35" s="193"/>
    </row>
    <row r="36" spans="1:16" ht="18.75" hidden="1" x14ac:dyDescent="0.25">
      <c r="A36" s="678"/>
      <c r="B36" s="189"/>
      <c r="C36" s="189"/>
      <c r="D36" s="189"/>
      <c r="E36" s="188"/>
      <c r="F36" s="189"/>
      <c r="G36" s="190"/>
      <c r="H36" s="191"/>
      <c r="I36" s="198"/>
      <c r="J36" s="198"/>
      <c r="K36" s="200"/>
      <c r="L36" s="193"/>
      <c r="M36" s="193"/>
      <c r="N36" s="193"/>
      <c r="O36" s="193"/>
      <c r="P36" s="193"/>
    </row>
    <row r="37" spans="1:16" ht="18.75" hidden="1" x14ac:dyDescent="0.25">
      <c r="A37" s="678"/>
      <c r="B37" s="189"/>
      <c r="C37" s="189"/>
      <c r="D37" s="679"/>
      <c r="E37" s="189"/>
      <c r="F37" s="189"/>
      <c r="G37" s="190"/>
      <c r="H37" s="191"/>
      <c r="I37" s="198"/>
      <c r="J37" s="198"/>
      <c r="K37" s="200"/>
      <c r="L37" s="193"/>
      <c r="M37" s="193"/>
      <c r="N37" s="193"/>
      <c r="O37" s="193"/>
      <c r="P37" s="193"/>
    </row>
    <row r="38" spans="1:16" ht="18.75" hidden="1" x14ac:dyDescent="0.25">
      <c r="A38" s="678"/>
      <c r="B38" s="189"/>
      <c r="C38" s="189"/>
      <c r="D38" s="189"/>
      <c r="E38" s="188"/>
      <c r="F38" s="189"/>
      <c r="G38" s="190"/>
      <c r="H38" s="191"/>
      <c r="I38" s="198"/>
      <c r="J38" s="198"/>
      <c r="K38" s="200"/>
      <c r="L38" s="193"/>
      <c r="M38" s="193"/>
      <c r="N38" s="193"/>
      <c r="O38" s="193"/>
      <c r="P38" s="193"/>
    </row>
    <row r="39" spans="1:16" ht="18.75" hidden="1" x14ac:dyDescent="0.25">
      <c r="A39" s="677"/>
      <c r="B39" s="675"/>
      <c r="C39" s="675"/>
      <c r="D39" s="675"/>
      <c r="E39" s="676"/>
      <c r="F39" s="675"/>
      <c r="G39" s="674"/>
      <c r="H39" s="673"/>
      <c r="I39" s="672"/>
      <c r="J39" s="672"/>
      <c r="K39" s="671"/>
      <c r="L39" s="670"/>
      <c r="M39" s="670"/>
      <c r="N39" s="670"/>
      <c r="O39" s="670"/>
      <c r="P39" s="670"/>
    </row>
    <row r="40" spans="1:16" ht="19.5" hidden="1" x14ac:dyDescent="0.3">
      <c r="A40" s="78" t="s">
        <v>23</v>
      </c>
      <c r="B40" s="79"/>
      <c r="C40" s="79"/>
      <c r="D40" s="79"/>
      <c r="E40" s="79"/>
      <c r="F40" s="79"/>
      <c r="G40" s="80"/>
      <c r="H40" s="80"/>
      <c r="I40" s="81"/>
      <c r="J40" s="81"/>
      <c r="K40" s="82"/>
      <c r="L40" s="83">
        <f ca="1">L44+L59+L72+L94+L125+L139+L157+L173+L186+L266+L282+L303+L320+L333+L356</f>
        <v>2247803</v>
      </c>
      <c r="M40" s="83">
        <f ca="1">M44+M59+M72+M94+M125+M139+M157+M173+M186+M266+M282+M303+M320+M333+M356</f>
        <v>1889220</v>
      </c>
      <c r="N40" s="83">
        <f ca="1">N44+N59+N72+N94+N125+N139+N157+N173+N186+N266+N282+N303+N320+N333+N356</f>
        <v>744443.19</v>
      </c>
      <c r="O40" s="83">
        <f ca="1">IF(L40&gt;0,N40*100/L40,0)</f>
        <v>33.118702573134748</v>
      </c>
      <c r="P40" s="83">
        <f ca="1">IF(M40&gt;0,N40*100/M40,0)</f>
        <v>39.404790866071714</v>
      </c>
    </row>
    <row r="41" spans="1:16" ht="19.5" x14ac:dyDescent="0.3">
      <c r="A41" s="84" t="s">
        <v>24</v>
      </c>
      <c r="B41" s="85"/>
      <c r="C41" s="85"/>
      <c r="D41" s="85"/>
      <c r="E41" s="85"/>
      <c r="F41" s="85"/>
      <c r="G41" s="85"/>
      <c r="H41" s="85"/>
      <c r="I41" s="86"/>
      <c r="J41" s="86"/>
      <c r="K41" s="87"/>
      <c r="L41" s="87"/>
      <c r="M41" s="87"/>
      <c r="N41" s="87"/>
      <c r="O41" s="87"/>
      <c r="P41" s="88"/>
    </row>
    <row r="42" spans="1:16" ht="19.5" x14ac:dyDescent="0.3">
      <c r="A42" s="89"/>
      <c r="B42" s="90" t="s">
        <v>25</v>
      </c>
      <c r="C42" s="89"/>
      <c r="D42" s="89"/>
      <c r="E42" s="89"/>
      <c r="F42" s="89"/>
      <c r="G42" s="89"/>
      <c r="H42" s="91"/>
      <c r="I42" s="92"/>
      <c r="J42" s="92"/>
      <c r="K42" s="93"/>
      <c r="L42" s="93"/>
      <c r="M42" s="93"/>
      <c r="N42" s="93"/>
      <c r="O42" s="93"/>
      <c r="P42" s="93"/>
    </row>
    <row r="43" spans="1:16" ht="19.5" hidden="1" x14ac:dyDescent="0.3">
      <c r="A43" s="16"/>
      <c r="B43" s="17"/>
      <c r="C43" s="212"/>
      <c r="D43" s="19"/>
      <c r="E43" s="17"/>
      <c r="F43" s="17"/>
      <c r="G43" s="20"/>
      <c r="H43" s="21"/>
      <c r="I43" s="22"/>
      <c r="J43" s="22"/>
      <c r="K43" s="23"/>
      <c r="L43" s="24"/>
      <c r="M43" s="24"/>
      <c r="N43" s="24"/>
      <c r="O43" s="24"/>
      <c r="P43" s="24"/>
    </row>
    <row r="44" spans="1:16" ht="19.5" x14ac:dyDescent="0.3">
      <c r="A44" s="94"/>
      <c r="B44" s="95"/>
      <c r="C44" s="96" t="s">
        <v>16</v>
      </c>
      <c r="D44" s="669" t="s">
        <v>17</v>
      </c>
      <c r="E44" s="95"/>
      <c r="F44" s="95"/>
      <c r="G44" s="98"/>
      <c r="H44" s="99" t="s">
        <v>12</v>
      </c>
      <c r="I44" s="100"/>
      <c r="J44" s="100"/>
      <c r="K44" s="101"/>
      <c r="L44" s="102">
        <f ca="1">L45+L46</f>
        <v>355143</v>
      </c>
      <c r="M44" s="102">
        <f ca="1">M45+M46</f>
        <v>363885</v>
      </c>
      <c r="N44" s="102">
        <f ca="1">N45+N46</f>
        <v>149323</v>
      </c>
      <c r="O44" s="102">
        <f ca="1">IF(L44&gt;0,N44*100/L44,0)</f>
        <v>42.045880110265443</v>
      </c>
      <c r="P44" s="102">
        <f ca="1">IF(M44&gt;0,N44*100/M44,0)</f>
        <v>41.03576679445429</v>
      </c>
    </row>
    <row r="45" spans="1:16" ht="18.75" hidden="1" x14ac:dyDescent="0.25">
      <c r="A45" s="668"/>
      <c r="B45" s="666"/>
      <c r="C45" s="666"/>
      <c r="D45" s="666"/>
      <c r="E45" s="667" t="s">
        <v>18</v>
      </c>
      <c r="F45" s="666"/>
      <c r="G45" s="665"/>
      <c r="H45" s="664" t="s">
        <v>12</v>
      </c>
      <c r="I45" s="663"/>
      <c r="J45" s="663"/>
      <c r="K45" s="66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"/>
      <c r="B46" s="95"/>
      <c r="C46" s="95"/>
      <c r="D46" s="95"/>
      <c r="E46" s="103" t="s">
        <v>19</v>
      </c>
      <c r="F46" s="95"/>
      <c r="G46" s="98"/>
      <c r="H46" s="104" t="s">
        <v>12</v>
      </c>
      <c r="I46" s="100"/>
      <c r="J46" s="100"/>
      <c r="K46" s="101"/>
      <c r="L46" s="105">
        <f ca="1">L49+L52</f>
        <v>355143</v>
      </c>
      <c r="M46" s="105">
        <f ca="1">M49+M52</f>
        <v>363885</v>
      </c>
      <c r="N46" s="105">
        <f ca="1">N49+N52</f>
        <v>149323</v>
      </c>
      <c r="O46" s="105">
        <f ca="1">IF(L46&gt;0,N46*100/L46,0)</f>
        <v>42.045880110265443</v>
      </c>
      <c r="P46" s="105">
        <f ca="1">IF(M46&gt;0,N46*100/M46,0)</f>
        <v>41.03576679445429</v>
      </c>
    </row>
    <row r="47" spans="1:16" ht="18.75" x14ac:dyDescent="0.25">
      <c r="A47" s="52"/>
      <c r="B47" s="53"/>
      <c r="C47" s="53"/>
      <c r="D47" s="573" t="s">
        <v>20</v>
      </c>
      <c r="E47" s="53"/>
      <c r="F47" s="53"/>
      <c r="G47" s="55"/>
      <c r="H47" s="56" t="s">
        <v>12</v>
      </c>
      <c r="I47" s="57"/>
      <c r="J47" s="57"/>
      <c r="K47" s="58"/>
      <c r="L47" s="61">
        <f ca="1">L48+L49</f>
        <v>355143</v>
      </c>
      <c r="M47" s="61">
        <f ca="1">M48+M49</f>
        <v>363885</v>
      </c>
      <c r="N47" s="61">
        <f ca="1">N48+N49</f>
        <v>149323</v>
      </c>
      <c r="O47" s="61">
        <f ca="1">IF(L47&gt;0,N47*100/L47,0)</f>
        <v>42.045880110265443</v>
      </c>
      <c r="P47" s="61">
        <f ca="1">IF(M47&gt;0,N47*100/M47,0)</f>
        <v>41.03576679445429</v>
      </c>
    </row>
    <row r="48" spans="1:16" ht="18.75" hidden="1" x14ac:dyDescent="0.25">
      <c r="A48" s="634"/>
      <c r="B48" s="526"/>
      <c r="C48" s="526"/>
      <c r="D48" s="526"/>
      <c r="E48" s="540" t="s">
        <v>18</v>
      </c>
      <c r="F48" s="526"/>
      <c r="G48" s="525"/>
      <c r="H48" s="579" t="s">
        <v>12</v>
      </c>
      <c r="I48" s="199"/>
      <c r="J48" s="199"/>
      <c r="K48" s="521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52"/>
      <c r="B49" s="53"/>
      <c r="C49" s="53"/>
      <c r="D49" s="53"/>
      <c r="E49" s="336" t="s">
        <v>19</v>
      </c>
      <c r="F49" s="53"/>
      <c r="G49" s="55"/>
      <c r="H49" s="56" t="s">
        <v>12</v>
      </c>
      <c r="I49" s="57"/>
      <c r="J49" s="57"/>
      <c r="K49" s="58"/>
      <c r="L49" s="61">
        <f ca="1">IFERROR(__xludf.DUMMYFUNCTION("IMPORTRANGE(""https://docs.google.com/spreadsheets/d/1-uDff_7J0KD5mKrp0Vvzr7lt3OU09vwQwhkpOPPYv2Y/edit?usp=sharing"",""งบพรบ!P53"")"),355143)</f>
        <v>355143</v>
      </c>
      <c r="M49" s="61">
        <f ca="1">IFERROR(__xludf.DUMMYFUNCTION("IMPORTRANGE(""https://docs.google.com/spreadsheets/d/1-uDff_7J0KD5mKrp0Vvzr7lt3OU09vwQwhkpOPPYv2Y/edit?usp=sharing"",""งบพรบ!V53"")"),363885)</f>
        <v>363885</v>
      </c>
      <c r="N49" s="61">
        <f ca="1">IFERROR(__xludf.DUMMYFUNCTION("IMPORTRANGE(""https://docs.google.com/spreadsheets/d/1-uDff_7J0KD5mKrp0Vvzr7lt3OU09vwQwhkpOPPYv2Y/edit?usp=sharing"",""งบพรบ!Y53"")"),149323)</f>
        <v>149323</v>
      </c>
      <c r="O49" s="61">
        <f ca="1">IF(L49&gt;0,N49*100/L49,0)</f>
        <v>42.045880110265443</v>
      </c>
      <c r="P49" s="61">
        <f ca="1">IF(M49&gt;0,N49*100/M49,0)</f>
        <v>41.03576679445429</v>
      </c>
    </row>
    <row r="50" spans="1:16" ht="18.75" x14ac:dyDescent="0.25">
      <c r="A50" s="52"/>
      <c r="B50" s="53"/>
      <c r="C50" s="53"/>
      <c r="D50" s="573" t="s">
        <v>21</v>
      </c>
      <c r="E50" s="53"/>
      <c r="F50" s="53"/>
      <c r="G50" s="55"/>
      <c r="H50" s="56" t="s">
        <v>12</v>
      </c>
      <c r="I50" s="57"/>
      <c r="J50" s="57"/>
      <c r="K50" s="58"/>
      <c r="L50" s="61">
        <f ca="1">L51+L52</f>
        <v>0</v>
      </c>
      <c r="M50" s="61">
        <f ca="1">M51+M52</f>
        <v>0</v>
      </c>
      <c r="N50" s="61">
        <f ca="1">N51+N52</f>
        <v>0</v>
      </c>
      <c r="O50" s="61">
        <f ca="1">IF(L50&gt;0,N50*100/L50,0)</f>
        <v>0</v>
      </c>
      <c r="P50" s="61">
        <f ca="1">IF(M50&gt;0,N50*100/M50,0)</f>
        <v>0</v>
      </c>
    </row>
    <row r="51" spans="1:16" ht="18.75" hidden="1" x14ac:dyDescent="0.25">
      <c r="A51" s="634"/>
      <c r="B51" s="526"/>
      <c r="C51" s="526"/>
      <c r="D51" s="526"/>
      <c r="E51" s="540" t="s">
        <v>18</v>
      </c>
      <c r="F51" s="526"/>
      <c r="G51" s="525"/>
      <c r="H51" s="579" t="s">
        <v>12</v>
      </c>
      <c r="I51" s="199"/>
      <c r="J51" s="199"/>
      <c r="K51" s="521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52"/>
      <c r="B52" s="53"/>
      <c r="C52" s="53"/>
      <c r="D52" s="53"/>
      <c r="E52" s="336" t="s">
        <v>19</v>
      </c>
      <c r="F52" s="53"/>
      <c r="G52" s="55"/>
      <c r="H52" s="56" t="s">
        <v>12</v>
      </c>
      <c r="I52" s="57"/>
      <c r="J52" s="57"/>
      <c r="K52" s="58"/>
      <c r="L52" s="61">
        <f ca="1">IFERROR(__xludf.DUMMYFUNCTION("IMPORTRANGE(""https://docs.google.com/spreadsheets/d/1-uDff_7J0KD5mKrp0Vvzr7lt3OU09vwQwhkpOPPYv2Y/edit?usp=sharing"",""งบพรบ!S53"")"),0)</f>
        <v>0</v>
      </c>
      <c r="M52" s="61">
        <f ca="1">IFERROR(__xludf.DUMMYFUNCTION("IMPORTRANGE(""https://docs.google.com/spreadsheets/d/1-uDff_7J0KD5mKrp0Vvzr7lt3OU09vwQwhkpOPPYv2Y/edit?usp=sharing"",""งบพรบ!W53"")"),0)</f>
        <v>0</v>
      </c>
      <c r="N52" s="61">
        <f ca="1">IFERROR(__xludf.DUMMYFUNCTION("IMPORTRANGE(""https://docs.google.com/spreadsheets/d/1-uDff_7J0KD5mKrp0Vvzr7lt3OU09vwQwhkpOPPYv2Y/edit?usp=sharing"",""งบพรบ!Z53"")"),0)</f>
        <v>0</v>
      </c>
      <c r="O52" s="61">
        <f ca="1">IF(L52&gt;0,N52*100/L52,0)</f>
        <v>0</v>
      </c>
      <c r="P52" s="61">
        <f ca="1">IF(M52&gt;0,N52*100/M52,0)</f>
        <v>0</v>
      </c>
    </row>
    <row r="53" spans="1:16" ht="18.75" hidden="1" x14ac:dyDescent="0.25">
      <c r="A53" s="660"/>
      <c r="B53" s="658"/>
      <c r="C53" s="658"/>
      <c r="D53" s="659" t="s">
        <v>22</v>
      </c>
      <c r="E53" s="658"/>
      <c r="F53" s="658"/>
      <c r="G53" s="657"/>
      <c r="H53" s="656" t="s">
        <v>12</v>
      </c>
      <c r="I53" s="655"/>
      <c r="J53" s="655"/>
      <c r="K53" s="654"/>
      <c r="L53" s="653"/>
      <c r="M53" s="653"/>
      <c r="N53" s="653"/>
      <c r="O53" s="653"/>
      <c r="P53" s="653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497" t="s">
        <v>26</v>
      </c>
      <c r="B56" s="491"/>
      <c r="C56" s="491"/>
      <c r="D56" s="491"/>
      <c r="E56" s="491"/>
      <c r="F56" s="491"/>
      <c r="G56" s="491"/>
      <c r="H56" s="107"/>
      <c r="I56" s="108"/>
      <c r="J56" s="108"/>
      <c r="K56" s="109"/>
      <c r="L56" s="109"/>
      <c r="M56" s="109"/>
      <c r="N56" s="109"/>
      <c r="O56" s="109"/>
      <c r="P56" s="110"/>
    </row>
    <row r="57" spans="1:16" ht="19.5" x14ac:dyDescent="0.3">
      <c r="A57" s="111"/>
      <c r="B57" s="498" t="s">
        <v>27</v>
      </c>
      <c r="C57" s="499"/>
      <c r="D57" s="499"/>
      <c r="E57" s="499"/>
      <c r="F57" s="499"/>
      <c r="G57" s="500"/>
      <c r="H57" s="112"/>
      <c r="I57" s="113"/>
      <c r="J57" s="113"/>
      <c r="K57" s="114"/>
      <c r="L57" s="114"/>
      <c r="M57" s="114"/>
      <c r="N57" s="114"/>
      <c r="O57" s="114"/>
      <c r="P57" s="114"/>
    </row>
    <row r="58" spans="1:16" ht="19.5" x14ac:dyDescent="0.3">
      <c r="A58" s="115"/>
      <c r="B58" s="116" t="s">
        <v>28</v>
      </c>
      <c r="C58" s="117"/>
      <c r="D58" s="117"/>
      <c r="E58" s="117"/>
      <c r="F58" s="117"/>
      <c r="G58" s="118"/>
      <c r="H58" s="118"/>
      <c r="I58" s="119"/>
      <c r="J58" s="119"/>
      <c r="K58" s="120"/>
      <c r="L58" s="120"/>
      <c r="M58" s="120"/>
      <c r="N58" s="120"/>
      <c r="O58" s="120"/>
      <c r="P58" s="120"/>
    </row>
    <row r="59" spans="1:16" ht="19.5" x14ac:dyDescent="0.3">
      <c r="A59" s="121"/>
      <c r="B59" s="122"/>
      <c r="C59" s="123" t="s">
        <v>16</v>
      </c>
      <c r="D59" s="643" t="s">
        <v>17</v>
      </c>
      <c r="E59" s="122"/>
      <c r="F59" s="122"/>
      <c r="G59" s="125"/>
      <c r="H59" s="126" t="s">
        <v>12</v>
      </c>
      <c r="I59" s="127"/>
      <c r="J59" s="127"/>
      <c r="K59" s="128"/>
      <c r="L59" s="129">
        <f ca="1">L60+L61</f>
        <v>668400</v>
      </c>
      <c r="M59" s="129">
        <f ca="1">M60+M61</f>
        <v>503550</v>
      </c>
      <c r="N59" s="129">
        <f ca="1">N60+N61</f>
        <v>377638.19</v>
      </c>
      <c r="O59" s="129">
        <f ca="1">IF(L59&gt;0,N59*100/L59,0)</f>
        <v>56.498831538001198</v>
      </c>
      <c r="P59" s="129">
        <f ca="1">IF(M59&gt;0,N59*100/M59,0)</f>
        <v>74.995172276834481</v>
      </c>
    </row>
    <row r="60" spans="1:16" ht="18.75" hidden="1" x14ac:dyDescent="0.25">
      <c r="A60" s="642"/>
      <c r="B60" s="640"/>
      <c r="C60" s="640"/>
      <c r="D60" s="640"/>
      <c r="E60" s="641" t="s">
        <v>18</v>
      </c>
      <c r="F60" s="640"/>
      <c r="G60" s="639"/>
      <c r="H60" s="638" t="s">
        <v>12</v>
      </c>
      <c r="I60" s="637"/>
      <c r="J60" s="637"/>
      <c r="K60" s="636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121"/>
      <c r="B61" s="122"/>
      <c r="C61" s="122"/>
      <c r="D61" s="122"/>
      <c r="E61" s="130" t="s">
        <v>19</v>
      </c>
      <c r="F61" s="122"/>
      <c r="G61" s="125"/>
      <c r="H61" s="131" t="s">
        <v>12</v>
      </c>
      <c r="I61" s="127"/>
      <c r="J61" s="127"/>
      <c r="K61" s="128"/>
      <c r="L61" s="132">
        <f ca="1">L64+L67</f>
        <v>668400</v>
      </c>
      <c r="M61" s="132">
        <f ca="1">M64+M67</f>
        <v>503550</v>
      </c>
      <c r="N61" s="132">
        <f ca="1">N64+N67</f>
        <v>377638.19</v>
      </c>
      <c r="O61" s="132">
        <f ca="1">IF(L61&gt;0,N61*100/L61,0)</f>
        <v>56.498831538001198</v>
      </c>
      <c r="P61" s="132">
        <f ca="1">IF(M61&gt;0,N61*100/M61,0)</f>
        <v>74.995172276834481</v>
      </c>
    </row>
    <row r="62" spans="1:16" ht="18.75" x14ac:dyDescent="0.25">
      <c r="A62" s="52"/>
      <c r="B62" s="53"/>
      <c r="C62" s="53"/>
      <c r="D62" s="573" t="s">
        <v>20</v>
      </c>
      <c r="E62" s="53"/>
      <c r="F62" s="53"/>
      <c r="G62" s="55"/>
      <c r="H62" s="56" t="s">
        <v>12</v>
      </c>
      <c r="I62" s="57"/>
      <c r="J62" s="57"/>
      <c r="K62" s="58"/>
      <c r="L62" s="61">
        <f ca="1">L63+L64</f>
        <v>668400</v>
      </c>
      <c r="M62" s="61">
        <f ca="1">M63+M64</f>
        <v>503550</v>
      </c>
      <c r="N62" s="61">
        <f ca="1">N63+N64</f>
        <v>377638.19</v>
      </c>
      <c r="O62" s="61">
        <f ca="1">IF(L62&gt;0,N62*100/L62,0)</f>
        <v>56.498831538001198</v>
      </c>
      <c r="P62" s="61">
        <f ca="1">IF(M62&gt;0,N62*100/M62,0)</f>
        <v>74.995172276834481</v>
      </c>
    </row>
    <row r="63" spans="1:16" ht="18.75" hidden="1" x14ac:dyDescent="0.25">
      <c r="A63" s="634"/>
      <c r="B63" s="526"/>
      <c r="C63" s="526"/>
      <c r="D63" s="526"/>
      <c r="E63" s="540" t="s">
        <v>18</v>
      </c>
      <c r="F63" s="526"/>
      <c r="G63" s="525"/>
      <c r="H63" s="579" t="s">
        <v>12</v>
      </c>
      <c r="I63" s="199"/>
      <c r="J63" s="199"/>
      <c r="K63" s="521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52"/>
      <c r="B64" s="53"/>
      <c r="C64" s="53"/>
      <c r="D64" s="53"/>
      <c r="E64" s="336" t="s">
        <v>19</v>
      </c>
      <c r="F64" s="53"/>
      <c r="G64" s="55"/>
      <c r="H64" s="56" t="s">
        <v>12</v>
      </c>
      <c r="I64" s="57"/>
      <c r="J64" s="57"/>
      <c r="K64" s="58"/>
      <c r="L64" s="61">
        <f ca="1">IFERROR(__xludf.DUMMYFUNCTION("IMPORTRANGE(""https://docs.google.com/spreadsheets/d/1-uDff_7J0KD5mKrp0Vvzr7lt3OU09vwQwhkpOPPYv2Y/edit?usp=sharing"",""งบพรบ!AC53"")"),668400)</f>
        <v>668400</v>
      </c>
      <c r="M64" s="61">
        <f ca="1">IFERROR(__xludf.DUMMYFUNCTION("IMPORTRANGE(""https://docs.google.com/spreadsheets/d/1-uDff_7J0KD5mKrp0Vvzr7lt3OU09vwQwhkpOPPYv2Y/edit?usp=sharing"",""งบพรบ!AH53"")"),503550)</f>
        <v>503550</v>
      </c>
      <c r="N64" s="61">
        <f ca="1">IFERROR(__xludf.DUMMYFUNCTION("IMPORTRANGE(""https://docs.google.com/spreadsheets/d/1-uDff_7J0KD5mKrp0Vvzr7lt3OU09vwQwhkpOPPYv2Y/edit?usp=sharing"",""งบพรบ!AJ53"")"),377638.19)</f>
        <v>377638.19</v>
      </c>
      <c r="O64" s="61">
        <f ca="1">IF(L64&gt;0,N64*100/L64,0)</f>
        <v>56.498831538001198</v>
      </c>
      <c r="P64" s="61">
        <f ca="1">IF(M64&gt;0,N64*100/M64,0)</f>
        <v>74.995172276834481</v>
      </c>
    </row>
    <row r="65" spans="1:16" ht="18.75" x14ac:dyDescent="0.25">
      <c r="A65" s="52"/>
      <c r="B65" s="53"/>
      <c r="C65" s="53"/>
      <c r="D65" s="573" t="s">
        <v>21</v>
      </c>
      <c r="E65" s="53"/>
      <c r="F65" s="53"/>
      <c r="G65" s="55"/>
      <c r="H65" s="56" t="s">
        <v>12</v>
      </c>
      <c r="I65" s="57"/>
      <c r="J65" s="57"/>
      <c r="K65" s="58"/>
      <c r="L65" s="61">
        <f ca="1">L66+L67</f>
        <v>0</v>
      </c>
      <c r="M65" s="61">
        <f ca="1">M66+M67</f>
        <v>0</v>
      </c>
      <c r="N65" s="61">
        <f ca="1">N66+N67</f>
        <v>0</v>
      </c>
      <c r="O65" s="61">
        <f ca="1">IF(L65&gt;0,N65*100/L65,0)</f>
        <v>0</v>
      </c>
      <c r="P65" s="61">
        <f ca="1">IF(M65&gt;0,N65*100/M65,0)</f>
        <v>0</v>
      </c>
    </row>
    <row r="66" spans="1:16" ht="18.75" hidden="1" x14ac:dyDescent="0.25">
      <c r="A66" s="634"/>
      <c r="B66" s="526"/>
      <c r="C66" s="526"/>
      <c r="D66" s="526"/>
      <c r="E66" s="540" t="s">
        <v>18</v>
      </c>
      <c r="F66" s="526"/>
      <c r="G66" s="525"/>
      <c r="H66" s="579" t="s">
        <v>12</v>
      </c>
      <c r="I66" s="199"/>
      <c r="J66" s="199"/>
      <c r="K66" s="521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133"/>
      <c r="B67" s="1"/>
      <c r="C67" s="1"/>
      <c r="D67" s="1"/>
      <c r="E67" s="254" t="s">
        <v>19</v>
      </c>
      <c r="F67" s="1"/>
      <c r="G67" s="135"/>
      <c r="H67" s="136" t="s">
        <v>12</v>
      </c>
      <c r="I67" s="137"/>
      <c r="J67" s="137"/>
      <c r="K67" s="138"/>
      <c r="L67" s="139">
        <f ca="1">IFERROR(__xludf.DUMMYFUNCTION("IMPORTRANGE(""https://docs.google.com/spreadsheets/d/1-uDff_7J0KD5mKrp0Vvzr7lt3OU09vwQwhkpOPPYv2Y/edit?usp=sharing"",""งบพรบ!AF53"")"),0)</f>
        <v>0</v>
      </c>
      <c r="M67" s="139">
        <f ca="1">IFERROR(__xludf.DUMMYFUNCTION("IMPORTRANGE(""https://docs.google.com/spreadsheets/d/1-uDff_7J0KD5mKrp0Vvzr7lt3OU09vwQwhkpOPPYv2Y/edit?usp=sharing"",""งบพรบ!AI53"")"),0)</f>
        <v>0</v>
      </c>
      <c r="N67" s="139">
        <f ca="1">IFERROR(__xludf.DUMMYFUNCTION("IMPORTRANGE(""https://docs.google.com/spreadsheets/d/1-uDff_7J0KD5mKrp0Vvzr7lt3OU09vwQwhkpOPPYv2Y/edit?usp=sharing"",""งบพรบ!AK53"")"),0)</f>
        <v>0</v>
      </c>
      <c r="O67" s="139">
        <f ca="1">IF(L67&gt;0,N67*100/L67,0)</f>
        <v>0</v>
      </c>
      <c r="P67" s="139">
        <f ca="1">IF(M67&gt;0,N67*100/M67,0)</f>
        <v>0</v>
      </c>
    </row>
    <row r="68" spans="1:16" ht="19.5" x14ac:dyDescent="0.3">
      <c r="A68" s="140" t="s">
        <v>29</v>
      </c>
      <c r="B68" s="141"/>
      <c r="C68" s="141"/>
      <c r="D68" s="141"/>
      <c r="E68" s="142"/>
      <c r="F68" s="142"/>
      <c r="G68" s="142"/>
      <c r="H68" s="142"/>
      <c r="I68" s="143"/>
      <c r="J68" s="143"/>
      <c r="K68" s="144"/>
      <c r="L68" s="144"/>
      <c r="M68" s="144"/>
      <c r="N68" s="144"/>
      <c r="O68" s="144"/>
      <c r="P68" s="145"/>
    </row>
    <row r="69" spans="1:16" ht="19.5" hidden="1" x14ac:dyDescent="0.3">
      <c r="A69" s="146" t="s">
        <v>30</v>
      </c>
      <c r="B69" s="147"/>
      <c r="C69" s="148"/>
      <c r="D69" s="147"/>
      <c r="E69" s="147"/>
      <c r="F69" s="147"/>
      <c r="G69" s="149"/>
      <c r="H69" s="149"/>
      <c r="I69" s="150"/>
      <c r="J69" s="150"/>
      <c r="K69" s="151"/>
      <c r="L69" s="151"/>
      <c r="M69" s="151"/>
      <c r="N69" s="151"/>
      <c r="O69" s="151"/>
      <c r="P69" s="151"/>
    </row>
    <row r="70" spans="1:16" ht="19.5" hidden="1" x14ac:dyDescent="0.3">
      <c r="A70" s="152"/>
      <c r="B70" s="153" t="s">
        <v>31</v>
      </c>
      <c r="C70" s="41"/>
      <c r="D70" s="154"/>
      <c r="E70" s="41"/>
      <c r="F70" s="41"/>
      <c r="G70" s="44"/>
      <c r="H70" s="226" t="s">
        <v>32</v>
      </c>
      <c r="I70" s="156">
        <f ca="1">I82</f>
        <v>0</v>
      </c>
      <c r="J70" s="156">
        <f>J82</f>
        <v>0</v>
      </c>
      <c r="K70" s="48">
        <f ca="1">IF(I70&gt;0,J70*100/I70,0)</f>
        <v>0</v>
      </c>
      <c r="L70" s="47"/>
      <c r="M70" s="47"/>
      <c r="N70" s="47"/>
      <c r="O70" s="47"/>
      <c r="P70" s="47"/>
    </row>
    <row r="71" spans="1:16" ht="19.5" hidden="1" x14ac:dyDescent="0.3">
      <c r="A71" s="152"/>
      <c r="B71" s="41"/>
      <c r="C71" s="41"/>
      <c r="D71" s="154"/>
      <c r="E71" s="41"/>
      <c r="F71" s="41"/>
      <c r="G71" s="44"/>
      <c r="H71" s="226" t="s">
        <v>33</v>
      </c>
      <c r="I71" s="156">
        <f ca="1">I83</f>
        <v>0</v>
      </c>
      <c r="J71" s="156">
        <f>J83</f>
        <v>0</v>
      </c>
      <c r="K71" s="48">
        <f ca="1">IF(I71&gt;0,J71*100/I71,0)</f>
        <v>0</v>
      </c>
      <c r="L71" s="47"/>
      <c r="M71" s="47"/>
      <c r="N71" s="47"/>
      <c r="O71" s="47"/>
      <c r="P71" s="47"/>
    </row>
    <row r="72" spans="1:16" ht="19.5" hidden="1" x14ac:dyDescent="0.3">
      <c r="A72" s="157"/>
      <c r="B72" s="53"/>
      <c r="C72" s="158" t="s">
        <v>16</v>
      </c>
      <c r="D72" s="574" t="s">
        <v>17</v>
      </c>
      <c r="E72" s="53"/>
      <c r="F72" s="53"/>
      <c r="G72" s="55"/>
      <c r="H72" s="160" t="s">
        <v>12</v>
      </c>
      <c r="I72" s="57"/>
      <c r="J72" s="57"/>
      <c r="K72" s="58"/>
      <c r="L72" s="161">
        <f ca="1">L73+L74</f>
        <v>0</v>
      </c>
      <c r="M72" s="161">
        <f ca="1">M73+M74</f>
        <v>0</v>
      </c>
      <c r="N72" s="161">
        <f ca="1">N73+N74</f>
        <v>0</v>
      </c>
      <c r="O72" s="161">
        <f ca="1">IF(L72&gt;0,N72*100/L72,0)</f>
        <v>0</v>
      </c>
      <c r="P72" s="161">
        <f ca="1">IF(M72&gt;0,N72*100/M72,0)</f>
        <v>0</v>
      </c>
    </row>
    <row r="73" spans="1:16" ht="18.75" hidden="1" x14ac:dyDescent="0.25">
      <c r="A73" s="541"/>
      <c r="B73" s="526"/>
      <c r="C73" s="526"/>
      <c r="D73" s="526"/>
      <c r="E73" s="540" t="s">
        <v>18</v>
      </c>
      <c r="F73" s="526"/>
      <c r="G73" s="525"/>
      <c r="H73" s="544" t="s">
        <v>12</v>
      </c>
      <c r="I73" s="199"/>
      <c r="J73" s="199"/>
      <c r="K73" s="521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157"/>
      <c r="B74" s="53"/>
      <c r="C74" s="53"/>
      <c r="D74" s="53"/>
      <c r="E74" s="336" t="s">
        <v>19</v>
      </c>
      <c r="F74" s="53"/>
      <c r="G74" s="55"/>
      <c r="H74" s="162" t="s">
        <v>12</v>
      </c>
      <c r="I74" s="57"/>
      <c r="J74" s="57"/>
      <c r="K74" s="58"/>
      <c r="L74" s="61">
        <f ca="1">L77+L80</f>
        <v>0</v>
      </c>
      <c r="M74" s="61">
        <f ca="1">M77+M80</f>
        <v>0</v>
      </c>
      <c r="N74" s="61">
        <f ca="1">N77+N80</f>
        <v>0</v>
      </c>
      <c r="O74" s="61">
        <f ca="1">IF(L74&gt;0,N74*100/L74,0)</f>
        <v>0</v>
      </c>
      <c r="P74" s="61">
        <f ca="1">IF(M74&gt;0,N74*100/M74,0)</f>
        <v>0</v>
      </c>
    </row>
    <row r="75" spans="1:16" ht="18.75" hidden="1" x14ac:dyDescent="0.25">
      <c r="A75" s="157"/>
      <c r="B75" s="53"/>
      <c r="C75" s="53"/>
      <c r="D75" s="573" t="s">
        <v>20</v>
      </c>
      <c r="E75" s="53"/>
      <c r="F75" s="53"/>
      <c r="G75" s="55"/>
      <c r="H75" s="163" t="s">
        <v>12</v>
      </c>
      <c r="I75" s="164"/>
      <c r="J75" s="164"/>
      <c r="K75" s="165"/>
      <c r="L75" s="61">
        <f ca="1">L76+L77</f>
        <v>0</v>
      </c>
      <c r="M75" s="61">
        <f ca="1">M76+M77</f>
        <v>0</v>
      </c>
      <c r="N75" s="61">
        <f ca="1">N76+N77</f>
        <v>0</v>
      </c>
      <c r="O75" s="61">
        <f ca="1">IF(L75&gt;0,N75*100/L75,0)</f>
        <v>0</v>
      </c>
      <c r="P75" s="61">
        <f ca="1">IF(M75&gt;0,N75*100/M75,0)</f>
        <v>0</v>
      </c>
    </row>
    <row r="76" spans="1:16" ht="18.75" hidden="1" x14ac:dyDescent="0.25">
      <c r="A76" s="541"/>
      <c r="B76" s="526"/>
      <c r="C76" s="526"/>
      <c r="D76" s="526"/>
      <c r="E76" s="540" t="s">
        <v>34</v>
      </c>
      <c r="F76" s="526"/>
      <c r="G76" s="525"/>
      <c r="H76" s="542" t="s">
        <v>12</v>
      </c>
      <c r="I76" s="532"/>
      <c r="J76" s="532"/>
      <c r="K76" s="531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157"/>
      <c r="B77" s="53"/>
      <c r="C77" s="53"/>
      <c r="D77" s="53"/>
      <c r="E77" s="336" t="s">
        <v>35</v>
      </c>
      <c r="F77" s="53"/>
      <c r="G77" s="55"/>
      <c r="H77" s="163" t="s">
        <v>12</v>
      </c>
      <c r="I77" s="164"/>
      <c r="J77" s="164"/>
      <c r="K77" s="165"/>
      <c r="L77" s="61">
        <f ca="1">IFERROR(__xludf.DUMMYFUNCTION("IMPORTRANGE(""https://docs.google.com/spreadsheets/d/1-uDff_7J0KD5mKrp0Vvzr7lt3OU09vwQwhkpOPPYv2Y/edit?usp=sharing"",""งบพรบ!AM53"")"),0)</f>
        <v>0</v>
      </c>
      <c r="M77" s="61">
        <f ca="1">IFERROR(__xludf.DUMMYFUNCTION("IMPORTRANGE(""https://docs.google.com/spreadsheets/d/1-uDff_7J0KD5mKrp0Vvzr7lt3OU09vwQwhkpOPPYv2Y/edit?usp=sharing"",""งบพรบ!AR53"")"),0)</f>
        <v>0</v>
      </c>
      <c r="N77" s="61">
        <f ca="1">IFERROR(__xludf.DUMMYFUNCTION("IMPORTRANGE(""https://docs.google.com/spreadsheets/d/1-uDff_7J0KD5mKrp0Vvzr7lt3OU09vwQwhkpOPPYv2Y/edit?usp=sharing"",""งบพรบ!AT53"")"),0)</f>
        <v>0</v>
      </c>
      <c r="O77" s="61">
        <f ca="1">IF(L77&gt;0,N77*100/L77,0)</f>
        <v>0</v>
      </c>
      <c r="P77" s="61">
        <f ca="1">IF(M77&gt;0,N77*100/M77,0)</f>
        <v>0</v>
      </c>
    </row>
    <row r="78" spans="1:16" ht="18.75" hidden="1" x14ac:dyDescent="0.25">
      <c r="A78" s="157"/>
      <c r="B78" s="53"/>
      <c r="C78" s="53"/>
      <c r="D78" s="573" t="s">
        <v>21</v>
      </c>
      <c r="E78" s="53"/>
      <c r="F78" s="53"/>
      <c r="G78" s="55"/>
      <c r="H78" s="166" t="s">
        <v>12</v>
      </c>
      <c r="I78" s="164"/>
      <c r="J78" s="164"/>
      <c r="K78" s="165"/>
      <c r="L78" s="61">
        <f ca="1">L79+L80</f>
        <v>0</v>
      </c>
      <c r="M78" s="61">
        <f ca="1">M79+M80</f>
        <v>0</v>
      </c>
      <c r="N78" s="61">
        <f ca="1">N79+N80</f>
        <v>0</v>
      </c>
      <c r="O78" s="61">
        <f ca="1">IF(L78&gt;0,N78*100/L78,0)</f>
        <v>0</v>
      </c>
      <c r="P78" s="61">
        <f ca="1">IF(M78&gt;0,N78*100/M78,0)</f>
        <v>0</v>
      </c>
    </row>
    <row r="79" spans="1:16" ht="18.75" hidden="1" x14ac:dyDescent="0.25">
      <c r="A79" s="541"/>
      <c r="B79" s="526"/>
      <c r="C79" s="526"/>
      <c r="D79" s="526"/>
      <c r="E79" s="540" t="s">
        <v>18</v>
      </c>
      <c r="F79" s="526"/>
      <c r="G79" s="525"/>
      <c r="H79" s="542" t="s">
        <v>12</v>
      </c>
      <c r="I79" s="532"/>
      <c r="J79" s="532"/>
      <c r="K79" s="531"/>
      <c r="L79" s="522">
        <v>0</v>
      </c>
      <c r="M79" s="521"/>
      <c r="N79" s="521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157"/>
      <c r="B80" s="53"/>
      <c r="C80" s="53"/>
      <c r="D80" s="53"/>
      <c r="E80" s="336" t="s">
        <v>19</v>
      </c>
      <c r="F80" s="53"/>
      <c r="G80" s="55"/>
      <c r="H80" s="166" t="s">
        <v>12</v>
      </c>
      <c r="I80" s="164"/>
      <c r="J80" s="164"/>
      <c r="K80" s="165"/>
      <c r="L80" s="61">
        <f ca="1">IFERROR(__xludf.DUMMYFUNCTION("IMPORTRANGE(""https://docs.google.com/spreadsheets/d/1-uDff_7J0KD5mKrp0Vvzr7lt3OU09vwQwhkpOPPYv2Y/edit?usp=sharing"",""งบพรบ!AP53"")"),0)</f>
        <v>0</v>
      </c>
      <c r="M80" s="61">
        <f ca="1">IFERROR(__xludf.DUMMYFUNCTION("IMPORTRANGE(""https://docs.google.com/spreadsheets/d/1-uDff_7J0KD5mKrp0Vvzr7lt3OU09vwQwhkpOPPYv2Y/edit?usp=sharing"",""งบพรบ!AS53"")"),0)</f>
        <v>0</v>
      </c>
      <c r="N80" s="61">
        <f ca="1">IFERROR(__xludf.DUMMYFUNCTION("IMPORTRANGE(""https://docs.google.com/spreadsheets/d/1-uDff_7J0KD5mKrp0Vvzr7lt3OU09vwQwhkpOPPYv2Y/edit?usp=sharing"",""งบพรบ!AU53"")"),0)</f>
        <v>0</v>
      </c>
      <c r="O80" s="61">
        <f ca="1">IF(L80&gt;0,N80*100/L80,0)</f>
        <v>0</v>
      </c>
      <c r="P80" s="61">
        <f ca="1">IF(M80&gt;0,N80*100/M80,0)</f>
        <v>0</v>
      </c>
    </row>
    <row r="81" spans="1:16" ht="19.5" hidden="1" x14ac:dyDescent="0.3">
      <c r="A81" s="167"/>
      <c r="B81" s="168"/>
      <c r="C81" s="158" t="s">
        <v>16</v>
      </c>
      <c r="D81" s="571" t="s">
        <v>36</v>
      </c>
      <c r="E81" s="170"/>
      <c r="F81" s="170"/>
      <c r="G81" s="171"/>
      <c r="H81" s="172"/>
      <c r="I81" s="164"/>
      <c r="J81" s="164"/>
      <c r="K81" s="165"/>
      <c r="L81" s="165"/>
      <c r="M81" s="165"/>
      <c r="N81" s="165"/>
      <c r="O81" s="165"/>
      <c r="P81" s="165"/>
    </row>
    <row r="82" spans="1:16" ht="19.5" hidden="1" x14ac:dyDescent="0.3">
      <c r="A82" s="167"/>
      <c r="B82" s="168"/>
      <c r="C82" s="168"/>
      <c r="D82" s="449" t="s">
        <v>37</v>
      </c>
      <c r="E82" s="174"/>
      <c r="F82" s="174"/>
      <c r="G82" s="172"/>
      <c r="H82" s="175" t="s">
        <v>32</v>
      </c>
      <c r="I82" s="176">
        <f ca="1">I84+I86+I88</f>
        <v>0</v>
      </c>
      <c r="J82" s="176">
        <f>J84+J86+J88</f>
        <v>0</v>
      </c>
      <c r="K82" s="177">
        <f ca="1">IF(I82&gt;0,J82*100/I82,0)</f>
        <v>0</v>
      </c>
      <c r="L82" s="165"/>
      <c r="M82" s="165"/>
      <c r="N82" s="165"/>
      <c r="O82" s="165"/>
      <c r="P82" s="165"/>
    </row>
    <row r="83" spans="1:16" ht="19.5" hidden="1" x14ac:dyDescent="0.3">
      <c r="A83" s="167"/>
      <c r="B83" s="168"/>
      <c r="C83" s="168"/>
      <c r="D83" s="168"/>
      <c r="E83" s="174"/>
      <c r="F83" s="174"/>
      <c r="G83" s="172"/>
      <c r="H83" s="175" t="s">
        <v>33</v>
      </c>
      <c r="I83" s="176">
        <f ca="1">I85+I87+I89</f>
        <v>0</v>
      </c>
      <c r="J83" s="176">
        <f>J85+J87+J89</f>
        <v>0</v>
      </c>
      <c r="K83" s="177">
        <f ca="1">IF(I83&gt;0,J83*100/I83,0)</f>
        <v>0</v>
      </c>
      <c r="L83" s="165"/>
      <c r="M83" s="165"/>
      <c r="N83" s="165"/>
      <c r="O83" s="165"/>
      <c r="P83" s="165"/>
    </row>
    <row r="84" spans="1:16" ht="18.75" hidden="1" x14ac:dyDescent="0.25">
      <c r="A84" s="167"/>
      <c r="B84" s="168"/>
      <c r="C84" s="168"/>
      <c r="D84" s="168"/>
      <c r="E84" s="195" t="s">
        <v>38</v>
      </c>
      <c r="F84" s="174"/>
      <c r="G84" s="172"/>
      <c r="H84" s="297" t="s">
        <v>32</v>
      </c>
      <c r="I84" s="184">
        <f ca="1">IFERROR(__xludf.DUMMYFUNCTION("IMPORTRANGE(""https://docs.google.com/spreadsheets/d/1eHaY18a8A9IcSdp1K8H6x8fbOy06t2VsZHhMHf-1x7Y/edit?usp=sharing"",""แผน!H53"")"),0)</f>
        <v>0</v>
      </c>
      <c r="J84" s="578">
        <v>0</v>
      </c>
      <c r="K84" s="183">
        <f ca="1">IF(I84&gt;0,J84*100/I84,0)</f>
        <v>0</v>
      </c>
      <c r="L84" s="165"/>
      <c r="M84" s="165"/>
      <c r="N84" s="165"/>
      <c r="O84" s="165"/>
      <c r="P84" s="165"/>
    </row>
    <row r="85" spans="1:16" ht="18.75" hidden="1" x14ac:dyDescent="0.25">
      <c r="A85" s="167"/>
      <c r="B85" s="168"/>
      <c r="C85" s="168"/>
      <c r="D85" s="168"/>
      <c r="E85" s="174"/>
      <c r="F85" s="174"/>
      <c r="G85" s="172"/>
      <c r="H85" s="297" t="s">
        <v>33</v>
      </c>
      <c r="I85" s="184">
        <f ca="1">IFERROR(__xludf.DUMMYFUNCTION("IMPORTRANGE(""https://docs.google.com/spreadsheets/d/1eHaY18a8A9IcSdp1K8H6x8fbOy06t2VsZHhMHf-1x7Y/edit?usp=sharing"",""แผน!I53"")"),0)</f>
        <v>0</v>
      </c>
      <c r="J85" s="578">
        <v>0</v>
      </c>
      <c r="K85" s="183">
        <f ca="1">IF(I85&gt;0,J85*100/I85,0)</f>
        <v>0</v>
      </c>
      <c r="L85" s="165"/>
      <c r="M85" s="165"/>
      <c r="N85" s="165"/>
      <c r="O85" s="165"/>
      <c r="P85" s="165"/>
    </row>
    <row r="86" spans="1:16" ht="18.75" hidden="1" x14ac:dyDescent="0.25">
      <c r="A86" s="167"/>
      <c r="B86" s="168"/>
      <c r="C86" s="168"/>
      <c r="D86" s="168"/>
      <c r="E86" s="195" t="s">
        <v>39</v>
      </c>
      <c r="F86" s="174"/>
      <c r="G86" s="172"/>
      <c r="H86" s="297" t="s">
        <v>32</v>
      </c>
      <c r="I86" s="184">
        <f ca="1">IFERROR(__xludf.DUMMYFUNCTION("IMPORTRANGE(""https://docs.google.com/spreadsheets/d/1eHaY18a8A9IcSdp1K8H6x8fbOy06t2VsZHhMHf-1x7Y/edit?usp=sharing"",""แผน!F53"")"),0)</f>
        <v>0</v>
      </c>
      <c r="J86" s="578">
        <v>0</v>
      </c>
      <c r="K86" s="183">
        <f ca="1">IF(I86&gt;0,J86*100/I86,0)</f>
        <v>0</v>
      </c>
      <c r="L86" s="165"/>
      <c r="M86" s="165"/>
      <c r="N86" s="165"/>
      <c r="O86" s="165"/>
      <c r="P86" s="165"/>
    </row>
    <row r="87" spans="1:16" ht="18.75" hidden="1" x14ac:dyDescent="0.25">
      <c r="A87" s="167"/>
      <c r="B87" s="168"/>
      <c r="C87" s="168"/>
      <c r="D87" s="168"/>
      <c r="E87" s="174"/>
      <c r="F87" s="174"/>
      <c r="G87" s="172"/>
      <c r="H87" s="297" t="s">
        <v>33</v>
      </c>
      <c r="I87" s="184">
        <f ca="1">IFERROR(__xludf.DUMMYFUNCTION("IMPORTRANGE(""https://docs.google.com/spreadsheets/d/1eHaY18a8A9IcSdp1K8H6x8fbOy06t2VsZHhMHf-1x7Y/edit?usp=sharing"",""แผน!G53"")"),0)</f>
        <v>0</v>
      </c>
      <c r="J87" s="578">
        <v>0</v>
      </c>
      <c r="K87" s="183">
        <f ca="1">IF(I87&gt;0,J87*100/I87,0)</f>
        <v>0</v>
      </c>
      <c r="L87" s="165"/>
      <c r="M87" s="165"/>
      <c r="N87" s="165"/>
      <c r="O87" s="165"/>
      <c r="P87" s="165"/>
    </row>
    <row r="88" spans="1:16" ht="18.75" hidden="1" x14ac:dyDescent="0.25">
      <c r="A88" s="167"/>
      <c r="B88" s="168"/>
      <c r="C88" s="168"/>
      <c r="D88" s="168"/>
      <c r="E88" s="195" t="s">
        <v>40</v>
      </c>
      <c r="F88" s="174"/>
      <c r="G88" s="172"/>
      <c r="H88" s="297" t="s">
        <v>32</v>
      </c>
      <c r="I88" s="184">
        <f ca="1">IFERROR(__xludf.DUMMYFUNCTION("IMPORTRANGE(""https://docs.google.com/spreadsheets/d/1eHaY18a8A9IcSdp1K8H6x8fbOy06t2VsZHhMHf-1x7Y/edit?usp=sharing"",""แผน!D53"")"),0)</f>
        <v>0</v>
      </c>
      <c r="J88" s="578">
        <v>0</v>
      </c>
      <c r="K88" s="183">
        <f ca="1">IF(I88&gt;0,J88*100/I88,0)</f>
        <v>0</v>
      </c>
      <c r="L88" s="165"/>
      <c r="M88" s="165"/>
      <c r="N88" s="165"/>
      <c r="O88" s="165"/>
      <c r="P88" s="165"/>
    </row>
    <row r="89" spans="1:16" ht="18.75" hidden="1" x14ac:dyDescent="0.25">
      <c r="A89" s="167"/>
      <c r="B89" s="168"/>
      <c r="C89" s="168"/>
      <c r="D89" s="168"/>
      <c r="E89" s="174"/>
      <c r="F89" s="174"/>
      <c r="G89" s="172"/>
      <c r="H89" s="297" t="s">
        <v>33</v>
      </c>
      <c r="I89" s="184">
        <f ca="1">IFERROR(__xludf.DUMMYFUNCTION("IMPORTRANGE(""https://docs.google.com/spreadsheets/d/1eHaY18a8A9IcSdp1K8H6x8fbOy06t2VsZHhMHf-1x7Y/edit?usp=sharing"",""แผน!E53"")"),0)</f>
        <v>0</v>
      </c>
      <c r="J89" s="578">
        <v>0</v>
      </c>
      <c r="K89" s="183">
        <f ca="1">IF(I89&gt;0,J89*100/I89,0)</f>
        <v>0</v>
      </c>
      <c r="L89" s="165"/>
      <c r="M89" s="165"/>
      <c r="N89" s="165"/>
      <c r="O89" s="165"/>
      <c r="P89" s="165"/>
    </row>
    <row r="90" spans="1:16" ht="18.75" hidden="1" x14ac:dyDescent="0.25">
      <c r="A90" s="167"/>
      <c r="B90" s="168"/>
      <c r="C90" s="168"/>
      <c r="D90" s="449" t="s">
        <v>41</v>
      </c>
      <c r="E90" s="174"/>
      <c r="F90" s="174"/>
      <c r="G90" s="172"/>
      <c r="H90" s="185" t="s">
        <v>32</v>
      </c>
      <c r="I90" s="184">
        <f ca="1">IFERROR(__xludf.DUMMYFUNCTION("IMPORTRANGE(""https://docs.google.com/spreadsheets/d/1eHaY18a8A9IcSdp1K8H6x8fbOy06t2VsZHhMHf-1x7Y/edit?usp=sharing"",""แผน!J53"")"),0)</f>
        <v>0</v>
      </c>
      <c r="J90" s="578">
        <v>0</v>
      </c>
      <c r="K90" s="183">
        <f ca="1">IF(I90&gt;0,J90*100/I90,0)</f>
        <v>0</v>
      </c>
      <c r="L90" s="165"/>
      <c r="M90" s="165"/>
      <c r="N90" s="165"/>
      <c r="O90" s="165"/>
      <c r="P90" s="165"/>
    </row>
    <row r="91" spans="1:16" ht="19.5" hidden="1" x14ac:dyDescent="0.3">
      <c r="A91" s="146" t="s">
        <v>42</v>
      </c>
      <c r="B91" s="147"/>
      <c r="C91" s="148"/>
      <c r="D91" s="147"/>
      <c r="E91" s="147"/>
      <c r="F91" s="147"/>
      <c r="G91" s="149"/>
      <c r="H91" s="149"/>
      <c r="I91" s="150"/>
      <c r="J91" s="150"/>
      <c r="K91" s="151"/>
      <c r="L91" s="151"/>
      <c r="M91" s="151"/>
      <c r="N91" s="151"/>
      <c r="O91" s="151"/>
      <c r="P91" s="151"/>
    </row>
    <row r="92" spans="1:16" ht="19.5" hidden="1" x14ac:dyDescent="0.3">
      <c r="A92" s="152"/>
      <c r="B92" s="153" t="s">
        <v>43</v>
      </c>
      <c r="C92" s="41"/>
      <c r="D92" s="154"/>
      <c r="E92" s="41"/>
      <c r="F92" s="41"/>
      <c r="G92" s="44"/>
      <c r="H92" s="226" t="s">
        <v>44</v>
      </c>
      <c r="I92" s="156">
        <f ca="1">I108</f>
        <v>0</v>
      </c>
      <c r="J92" s="156">
        <f>J108</f>
        <v>0</v>
      </c>
      <c r="K92" s="48">
        <f ca="1">IF(I92&gt;0,J92*100/I92,0)</f>
        <v>0</v>
      </c>
      <c r="L92" s="47"/>
      <c r="M92" s="47"/>
      <c r="N92" s="47"/>
      <c r="O92" s="47"/>
      <c r="P92" s="47"/>
    </row>
    <row r="93" spans="1:16" ht="19.5" hidden="1" x14ac:dyDescent="0.3">
      <c r="A93" s="152"/>
      <c r="B93" s="41"/>
      <c r="C93" s="41"/>
      <c r="D93" s="154"/>
      <c r="E93" s="41"/>
      <c r="F93" s="41"/>
      <c r="G93" s="44"/>
      <c r="H93" s="226" t="s">
        <v>33</v>
      </c>
      <c r="I93" s="156">
        <f ca="1">I109</f>
        <v>0</v>
      </c>
      <c r="J93" s="156">
        <f>J109</f>
        <v>0</v>
      </c>
      <c r="K93" s="48">
        <f ca="1">IF(I93&gt;0,J93*100/I93,0)</f>
        <v>0</v>
      </c>
      <c r="L93" s="47"/>
      <c r="M93" s="47"/>
      <c r="N93" s="47"/>
      <c r="O93" s="47"/>
      <c r="P93" s="47"/>
    </row>
    <row r="94" spans="1:16" ht="19.5" hidden="1" x14ac:dyDescent="0.3">
      <c r="A94" s="157"/>
      <c r="B94" s="53"/>
      <c r="C94" s="158" t="s">
        <v>16</v>
      </c>
      <c r="D94" s="574" t="s">
        <v>17</v>
      </c>
      <c r="E94" s="53"/>
      <c r="F94" s="53"/>
      <c r="G94" s="55"/>
      <c r="H94" s="160" t="s">
        <v>12</v>
      </c>
      <c r="I94" s="57"/>
      <c r="J94" s="57"/>
      <c r="K94" s="58"/>
      <c r="L94" s="161">
        <f ca="1">L95+L96</f>
        <v>0</v>
      </c>
      <c r="M94" s="161">
        <f ca="1">M95+M96</f>
        <v>0</v>
      </c>
      <c r="N94" s="161">
        <f ca="1">N95+N96</f>
        <v>0</v>
      </c>
      <c r="O94" s="161">
        <f ca="1">IF(L94&gt;0,N94*100/L94,0)</f>
        <v>0</v>
      </c>
      <c r="P94" s="161">
        <f ca="1">IF(M94&gt;0,N94*100/M94,0)</f>
        <v>0</v>
      </c>
    </row>
    <row r="95" spans="1:16" ht="18.75" hidden="1" x14ac:dyDescent="0.25">
      <c r="A95" s="541"/>
      <c r="B95" s="526"/>
      <c r="C95" s="526"/>
      <c r="D95" s="526"/>
      <c r="E95" s="540" t="s">
        <v>18</v>
      </c>
      <c r="F95" s="526"/>
      <c r="G95" s="525"/>
      <c r="H95" s="544" t="s">
        <v>12</v>
      </c>
      <c r="I95" s="199"/>
      <c r="J95" s="199"/>
      <c r="K95" s="521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157"/>
      <c r="B96" s="53"/>
      <c r="C96" s="53"/>
      <c r="D96" s="53"/>
      <c r="E96" s="336" t="s">
        <v>19</v>
      </c>
      <c r="F96" s="53"/>
      <c r="G96" s="55"/>
      <c r="H96" s="162" t="s">
        <v>12</v>
      </c>
      <c r="I96" s="57"/>
      <c r="J96" s="57"/>
      <c r="K96" s="58"/>
      <c r="L96" s="61">
        <f ca="1">L99+L102</f>
        <v>0</v>
      </c>
      <c r="M96" s="61">
        <f ca="1">M99+M102</f>
        <v>0</v>
      </c>
      <c r="N96" s="61">
        <f ca="1">N99+N102</f>
        <v>0</v>
      </c>
      <c r="O96" s="61">
        <f ca="1">IF(L96&gt;0,N96*100/L96,0)</f>
        <v>0</v>
      </c>
      <c r="P96" s="61">
        <f ca="1">IF(M96&gt;0,N96*100/M96,0)</f>
        <v>0</v>
      </c>
    </row>
    <row r="97" spans="1:16" ht="18.75" hidden="1" x14ac:dyDescent="0.25">
      <c r="A97" s="157"/>
      <c r="B97" s="53"/>
      <c r="C97" s="53"/>
      <c r="D97" s="573" t="s">
        <v>20</v>
      </c>
      <c r="E97" s="53"/>
      <c r="F97" s="53"/>
      <c r="G97" s="55"/>
      <c r="H97" s="163" t="s">
        <v>12</v>
      </c>
      <c r="I97" s="164"/>
      <c r="J97" s="164"/>
      <c r="K97" s="165"/>
      <c r="L97" s="61">
        <f ca="1">L98+L99</f>
        <v>0</v>
      </c>
      <c r="M97" s="61">
        <f ca="1">M98+M99</f>
        <v>0</v>
      </c>
      <c r="N97" s="61">
        <f ca="1">N98+N99</f>
        <v>0</v>
      </c>
      <c r="O97" s="61">
        <f ca="1">IF(L97&gt;0,N97*100/L97,0)</f>
        <v>0</v>
      </c>
      <c r="P97" s="61">
        <f ca="1">IF(M97&gt;0,N97*100/M97,0)</f>
        <v>0</v>
      </c>
    </row>
    <row r="98" spans="1:16" ht="18.75" hidden="1" x14ac:dyDescent="0.25">
      <c r="A98" s="541"/>
      <c r="B98" s="526"/>
      <c r="C98" s="526"/>
      <c r="D98" s="526"/>
      <c r="E98" s="540" t="s">
        <v>34</v>
      </c>
      <c r="F98" s="526"/>
      <c r="G98" s="525"/>
      <c r="H98" s="542" t="s">
        <v>12</v>
      </c>
      <c r="I98" s="532"/>
      <c r="J98" s="532"/>
      <c r="K98" s="531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157"/>
      <c r="B99" s="53"/>
      <c r="C99" s="53"/>
      <c r="D99" s="53"/>
      <c r="E99" s="336" t="s">
        <v>35</v>
      </c>
      <c r="F99" s="53"/>
      <c r="G99" s="55"/>
      <c r="H99" s="163" t="s">
        <v>12</v>
      </c>
      <c r="I99" s="164"/>
      <c r="J99" s="164"/>
      <c r="K99" s="165"/>
      <c r="L99" s="61">
        <f ca="1">IFERROR(__xludf.DUMMYFUNCTION("IMPORTRANGE(""https://docs.google.com/spreadsheets/d/1-uDff_7J0KD5mKrp0Vvzr7lt3OU09vwQwhkpOPPYv2Y/edit?usp=sharing"",""งบพรบ!AW53"")"),0)</f>
        <v>0</v>
      </c>
      <c r="M99" s="61">
        <f ca="1">IFERROR(__xludf.DUMMYFUNCTION("IMPORTRANGE(""https://docs.google.com/spreadsheets/d/1-uDff_7J0KD5mKrp0Vvzr7lt3OU09vwQwhkpOPPYv2Y/edit?usp=sharing"",""งบพรบ!BB53"")"),0)</f>
        <v>0</v>
      </c>
      <c r="N99" s="61">
        <f ca="1">IFERROR(__xludf.DUMMYFUNCTION("IMPORTRANGE(""https://docs.google.com/spreadsheets/d/1-uDff_7J0KD5mKrp0Vvzr7lt3OU09vwQwhkpOPPYv2Y/edit?usp=sharing"",""งบพรบ!BD53"")"),0)</f>
        <v>0</v>
      </c>
      <c r="O99" s="61">
        <f ca="1">IF(L99&gt;0,N99*100/L99,0)</f>
        <v>0</v>
      </c>
      <c r="P99" s="61">
        <f ca="1">IF(M99&gt;0,N99*100/M99,0)</f>
        <v>0</v>
      </c>
    </row>
    <row r="100" spans="1:16" ht="18.75" hidden="1" x14ac:dyDescent="0.25">
      <c r="A100" s="157"/>
      <c r="B100" s="53"/>
      <c r="C100" s="53"/>
      <c r="D100" s="573" t="s">
        <v>21</v>
      </c>
      <c r="E100" s="53"/>
      <c r="F100" s="53"/>
      <c r="G100" s="55"/>
      <c r="H100" s="166" t="s">
        <v>12</v>
      </c>
      <c r="I100" s="164"/>
      <c r="J100" s="164"/>
      <c r="K100" s="165"/>
      <c r="L100" s="61">
        <f ca="1">L101+L102</f>
        <v>0</v>
      </c>
      <c r="M100" s="61">
        <f ca="1">M101+M102</f>
        <v>0</v>
      </c>
      <c r="N100" s="61">
        <f ca="1">N101+N102</f>
        <v>0</v>
      </c>
      <c r="O100" s="61">
        <f ca="1">IF(L100&gt;0,N100*100/L100,0)</f>
        <v>0</v>
      </c>
      <c r="P100" s="61">
        <f ca="1">IF(M100&gt;0,N100*100/M100,0)</f>
        <v>0</v>
      </c>
    </row>
    <row r="101" spans="1:16" ht="18.75" hidden="1" x14ac:dyDescent="0.25">
      <c r="A101" s="541"/>
      <c r="B101" s="526"/>
      <c r="C101" s="526"/>
      <c r="D101" s="526"/>
      <c r="E101" s="540" t="s">
        <v>18</v>
      </c>
      <c r="F101" s="526"/>
      <c r="G101" s="525"/>
      <c r="H101" s="542" t="s">
        <v>12</v>
      </c>
      <c r="I101" s="532"/>
      <c r="J101" s="532"/>
      <c r="K101" s="531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157"/>
      <c r="B102" s="53"/>
      <c r="C102" s="53"/>
      <c r="D102" s="53"/>
      <c r="E102" s="336" t="s">
        <v>19</v>
      </c>
      <c r="F102" s="53"/>
      <c r="G102" s="55"/>
      <c r="H102" s="166" t="s">
        <v>12</v>
      </c>
      <c r="I102" s="164"/>
      <c r="J102" s="164"/>
      <c r="K102" s="165"/>
      <c r="L102" s="61">
        <f ca="1">IFERROR(__xludf.DUMMYFUNCTION("IMPORTRANGE(""https://docs.google.com/spreadsheets/d/1-uDff_7J0KD5mKrp0Vvzr7lt3OU09vwQwhkpOPPYv2Y/edit?usp=sharing"",""งบพรบ!AZ53"")"),0)</f>
        <v>0</v>
      </c>
      <c r="M102" s="61">
        <f ca="1">IFERROR(__xludf.DUMMYFUNCTION("IMPORTRANGE(""https://docs.google.com/spreadsheets/d/1-uDff_7J0KD5mKrp0Vvzr7lt3OU09vwQwhkpOPPYv2Y/edit?usp=sharing"",""งบพรบ!BC53"")"),0)</f>
        <v>0</v>
      </c>
      <c r="N102" s="61">
        <f ca="1">IFERROR(__xludf.DUMMYFUNCTION("IMPORTRANGE(""https://docs.google.com/spreadsheets/d/1-uDff_7J0KD5mKrp0Vvzr7lt3OU09vwQwhkpOPPYv2Y/edit?usp=sharing"",""งบพรบ!BE53"")"),0)</f>
        <v>0</v>
      </c>
      <c r="O102" s="61">
        <f ca="1">IF(L102&gt;0,N102*100/L102,0)</f>
        <v>0</v>
      </c>
      <c r="P102" s="61">
        <f ca="1">IF(M102&gt;0,N102*100/M102,0)</f>
        <v>0</v>
      </c>
    </row>
    <row r="103" spans="1:16" ht="19.5" hidden="1" x14ac:dyDescent="0.3">
      <c r="A103" s="167"/>
      <c r="B103" s="168"/>
      <c r="C103" s="158" t="s">
        <v>16</v>
      </c>
      <c r="D103" s="571" t="s">
        <v>36</v>
      </c>
      <c r="E103" s="170"/>
      <c r="F103" s="170"/>
      <c r="G103" s="171"/>
      <c r="H103" s="172"/>
      <c r="I103" s="164"/>
      <c r="J103" s="57"/>
      <c r="K103" s="58"/>
      <c r="L103" s="58"/>
      <c r="M103" s="58"/>
      <c r="N103" s="58"/>
      <c r="O103" s="165"/>
      <c r="P103" s="165"/>
    </row>
    <row r="104" spans="1:16" ht="18.75" hidden="1" x14ac:dyDescent="0.25">
      <c r="A104" s="186"/>
      <c r="B104" s="187"/>
      <c r="C104" s="187"/>
      <c r="D104" s="188"/>
      <c r="E104" s="189"/>
      <c r="F104" s="189"/>
      <c r="G104" s="190"/>
      <c r="H104" s="191"/>
      <c r="I104" s="192"/>
      <c r="J104" s="192"/>
      <c r="K104" s="193"/>
      <c r="L104" s="200"/>
      <c r="M104" s="200"/>
      <c r="N104" s="200"/>
      <c r="O104" s="200"/>
      <c r="P104" s="200"/>
    </row>
    <row r="105" spans="1:16" ht="18.75" hidden="1" x14ac:dyDescent="0.25">
      <c r="A105" s="186"/>
      <c r="B105" s="187"/>
      <c r="C105" s="187"/>
      <c r="D105" s="188"/>
      <c r="E105" s="189"/>
      <c r="F105" s="189"/>
      <c r="G105" s="190"/>
      <c r="H105" s="191"/>
      <c r="I105" s="192"/>
      <c r="J105" s="192"/>
      <c r="K105" s="193"/>
      <c r="L105" s="200"/>
      <c r="M105" s="200"/>
      <c r="N105" s="200"/>
      <c r="O105" s="200"/>
      <c r="P105" s="200"/>
    </row>
    <row r="106" spans="1:16" ht="18.75" hidden="1" x14ac:dyDescent="0.25">
      <c r="A106" s="186"/>
      <c r="B106" s="187"/>
      <c r="C106" s="187"/>
      <c r="D106" s="187"/>
      <c r="E106" s="189"/>
      <c r="F106" s="189"/>
      <c r="G106" s="190"/>
      <c r="H106" s="191"/>
      <c r="I106" s="192"/>
      <c r="J106" s="192"/>
      <c r="K106" s="193"/>
      <c r="L106" s="200"/>
      <c r="M106" s="200"/>
      <c r="N106" s="200"/>
      <c r="O106" s="200"/>
      <c r="P106" s="200"/>
    </row>
    <row r="107" spans="1:16" ht="19.5" hidden="1" x14ac:dyDescent="0.3">
      <c r="A107" s="167"/>
      <c r="B107" s="168"/>
      <c r="C107" s="168"/>
      <c r="D107" s="370" t="s">
        <v>45</v>
      </c>
      <c r="F107" s="174"/>
      <c r="G107" s="172"/>
      <c r="H107" s="55"/>
      <c r="I107" s="57"/>
      <c r="J107" s="57"/>
      <c r="K107" s="58"/>
      <c r="L107" s="58"/>
      <c r="M107" s="58"/>
      <c r="N107" s="58"/>
      <c r="O107" s="165"/>
      <c r="P107" s="165"/>
    </row>
    <row r="108" spans="1:16" ht="18.75" hidden="1" x14ac:dyDescent="0.25">
      <c r="A108" s="167"/>
      <c r="B108" s="168"/>
      <c r="C108" s="168"/>
      <c r="D108" s="195" t="s">
        <v>46</v>
      </c>
      <c r="E108" s="195"/>
      <c r="F108" s="174"/>
      <c r="G108" s="172"/>
      <c r="H108" s="56" t="s">
        <v>44</v>
      </c>
      <c r="I108" s="196">
        <f ca="1">IFERROR(__xludf.DUMMYFUNCTION("IMPORTRANGE(""https://docs.google.com/spreadsheets/d/1eHaY18a8A9IcSdp1K8H6x8fbOy06t2VsZHhMHf-1x7Y/edit?usp=sharing"",""แผน!N53"")"),0)</f>
        <v>0</v>
      </c>
      <c r="J108" s="578">
        <v>0</v>
      </c>
      <c r="K108" s="61">
        <f ca="1">IF(I108&gt;0,J108*100/I108,0)</f>
        <v>0</v>
      </c>
      <c r="L108" s="58"/>
      <c r="M108" s="58"/>
      <c r="N108" s="58"/>
      <c r="O108" s="165"/>
      <c r="P108" s="165"/>
    </row>
    <row r="109" spans="1:16" ht="18.75" hidden="1" x14ac:dyDescent="0.25">
      <c r="A109" s="167"/>
      <c r="B109" s="168"/>
      <c r="C109" s="168"/>
      <c r="D109" s="195" t="s">
        <v>47</v>
      </c>
      <c r="E109" s="195"/>
      <c r="F109" s="174"/>
      <c r="G109" s="172"/>
      <c r="H109" s="56" t="s">
        <v>33</v>
      </c>
      <c r="I109" s="196">
        <f ca="1">IFERROR(__xludf.DUMMYFUNCTION("IMPORTRANGE(""https://docs.google.com/spreadsheets/d/1eHaY18a8A9IcSdp1K8H6x8fbOy06t2VsZHhMHf-1x7Y/edit?usp=sharing"",""แผน!O53"")"),0)</f>
        <v>0</v>
      </c>
      <c r="J109" s="578">
        <v>0</v>
      </c>
      <c r="K109" s="61">
        <f ca="1">IF(I109&gt;0,J109*100/I109,0)</f>
        <v>0</v>
      </c>
      <c r="L109" s="58"/>
      <c r="M109" s="58"/>
      <c r="N109" s="58"/>
      <c r="O109" s="165"/>
      <c r="P109" s="165"/>
    </row>
    <row r="110" spans="1:16" ht="19.5" hidden="1" x14ac:dyDescent="0.3">
      <c r="A110" s="186"/>
      <c r="B110" s="187"/>
      <c r="C110" s="187"/>
      <c r="D110" s="189"/>
      <c r="E110" s="197"/>
      <c r="F110" s="189"/>
      <c r="G110" s="190"/>
      <c r="H110" s="190"/>
      <c r="I110" s="198"/>
      <c r="J110" s="198"/>
      <c r="K110" s="200"/>
      <c r="L110" s="200"/>
      <c r="M110" s="200"/>
      <c r="N110" s="200"/>
      <c r="O110" s="200"/>
      <c r="P110" s="200"/>
    </row>
    <row r="111" spans="1:16" ht="18.75" hidden="1" x14ac:dyDescent="0.25">
      <c r="A111" s="186"/>
      <c r="B111" s="187"/>
      <c r="C111" s="187"/>
      <c r="D111" s="189"/>
      <c r="E111" s="188"/>
      <c r="F111" s="189"/>
      <c r="G111" s="190"/>
      <c r="H111" s="191"/>
      <c r="I111" s="192"/>
      <c r="J111" s="192"/>
      <c r="K111" s="193"/>
      <c r="L111" s="200"/>
      <c r="M111" s="200"/>
      <c r="N111" s="200"/>
      <c r="O111" s="200"/>
      <c r="P111" s="200"/>
    </row>
    <row r="112" spans="1:16" ht="18.75" hidden="1" x14ac:dyDescent="0.25">
      <c r="A112" s="186"/>
      <c r="B112" s="187"/>
      <c r="C112" s="187"/>
      <c r="D112" s="189"/>
      <c r="E112" s="202"/>
      <c r="F112" s="189"/>
      <c r="G112" s="190"/>
      <c r="H112" s="191"/>
      <c r="I112" s="192"/>
      <c r="J112" s="192"/>
      <c r="K112" s="193"/>
      <c r="L112" s="200"/>
      <c r="M112" s="200"/>
      <c r="N112" s="200"/>
      <c r="O112" s="200"/>
      <c r="P112" s="200"/>
    </row>
    <row r="113" spans="1:16" ht="19.5" hidden="1" x14ac:dyDescent="0.3">
      <c r="A113" s="186"/>
      <c r="B113" s="187"/>
      <c r="C113" s="187"/>
      <c r="D113" s="189"/>
      <c r="E113" s="197"/>
      <c r="F113" s="189"/>
      <c r="G113" s="190"/>
      <c r="H113" s="190"/>
      <c r="I113" s="198"/>
      <c r="J113" s="198"/>
      <c r="K113" s="200"/>
      <c r="L113" s="200"/>
      <c r="M113" s="200"/>
      <c r="N113" s="200"/>
      <c r="O113" s="200"/>
      <c r="P113" s="200"/>
    </row>
    <row r="114" spans="1:16" ht="18.75" hidden="1" x14ac:dyDescent="0.25">
      <c r="A114" s="186"/>
      <c r="B114" s="187"/>
      <c r="C114" s="187"/>
      <c r="D114" s="189"/>
      <c r="E114" s="188"/>
      <c r="F114" s="189"/>
      <c r="G114" s="190"/>
      <c r="H114" s="191"/>
      <c r="I114" s="192"/>
      <c r="J114" s="192"/>
      <c r="K114" s="193"/>
      <c r="L114" s="200"/>
      <c r="M114" s="200"/>
      <c r="N114" s="200"/>
      <c r="O114" s="200"/>
      <c r="P114" s="200"/>
    </row>
    <row r="115" spans="1:16" ht="18.75" hidden="1" x14ac:dyDescent="0.25">
      <c r="A115" s="186"/>
      <c r="B115" s="187"/>
      <c r="C115" s="187"/>
      <c r="D115" s="189"/>
      <c r="E115" s="203"/>
      <c r="F115" s="189"/>
      <c r="G115" s="190"/>
      <c r="H115" s="191"/>
      <c r="I115" s="192"/>
      <c r="J115" s="192"/>
      <c r="K115" s="193"/>
      <c r="L115" s="200"/>
      <c r="M115" s="200"/>
      <c r="N115" s="200"/>
      <c r="O115" s="200"/>
      <c r="P115" s="200"/>
    </row>
    <row r="116" spans="1:16" ht="18.75" hidden="1" x14ac:dyDescent="0.25">
      <c r="A116" s="186"/>
      <c r="B116" s="187"/>
      <c r="C116" s="187"/>
      <c r="D116" s="189"/>
      <c r="E116" s="203"/>
      <c r="F116" s="189"/>
      <c r="G116" s="190"/>
      <c r="H116" s="191"/>
      <c r="I116" s="192"/>
      <c r="J116" s="192"/>
      <c r="K116" s="193"/>
      <c r="L116" s="200"/>
      <c r="M116" s="200"/>
      <c r="N116" s="200"/>
      <c r="O116" s="200"/>
      <c r="P116" s="200"/>
    </row>
    <row r="117" spans="1:16" ht="18.75" hidden="1" x14ac:dyDescent="0.25">
      <c r="A117" s="167"/>
      <c r="B117" s="168"/>
      <c r="C117" s="168"/>
      <c r="D117" s="195" t="s">
        <v>48</v>
      </c>
      <c r="E117" s="174"/>
      <c r="F117" s="174"/>
      <c r="G117" s="172"/>
      <c r="H117" s="297" t="s">
        <v>33</v>
      </c>
      <c r="I117" s="184">
        <f ca="1">IFERROR(__xludf.DUMMYFUNCTION("IMPORTRANGE(""https://docs.google.com/spreadsheets/d/1eHaY18a8A9IcSdp1K8H6x8fbOy06t2VsZHhMHf-1x7Y/edit?usp=sharing"",""แผน!R53"")"),0)</f>
        <v>0</v>
      </c>
      <c r="J117" s="578">
        <v>0</v>
      </c>
      <c r="K117" s="61">
        <f ca="1">IF(I117&gt;0,J117*100/I117,0)</f>
        <v>0</v>
      </c>
      <c r="L117" s="58"/>
      <c r="M117" s="58"/>
      <c r="N117" s="58"/>
      <c r="O117" s="165"/>
      <c r="P117" s="165"/>
    </row>
    <row r="118" spans="1:16" ht="19.5" hidden="1" x14ac:dyDescent="0.3">
      <c r="A118" s="186"/>
      <c r="B118" s="187"/>
      <c r="C118" s="187"/>
      <c r="D118" s="187"/>
      <c r="E118" s="189"/>
      <c r="F118" s="189"/>
      <c r="G118" s="190"/>
      <c r="H118" s="204"/>
      <c r="I118" s="205"/>
      <c r="J118" s="205"/>
      <c r="K118" s="206"/>
      <c r="L118" s="200"/>
      <c r="M118" s="200"/>
      <c r="N118" s="200"/>
      <c r="O118" s="200"/>
      <c r="P118" s="200"/>
    </row>
    <row r="119" spans="1:16" ht="18.75" hidden="1" x14ac:dyDescent="0.25">
      <c r="A119" s="186"/>
      <c r="B119" s="187"/>
      <c r="C119" s="187"/>
      <c r="D119" s="187"/>
      <c r="E119" s="188"/>
      <c r="F119" s="189"/>
      <c r="G119" s="190"/>
      <c r="H119" s="191"/>
      <c r="I119" s="192"/>
      <c r="J119" s="192"/>
      <c r="K119" s="193"/>
      <c r="L119" s="200"/>
      <c r="M119" s="200"/>
      <c r="N119" s="200"/>
      <c r="O119" s="200"/>
      <c r="P119" s="200"/>
    </row>
    <row r="120" spans="1:16" ht="18.75" hidden="1" x14ac:dyDescent="0.25">
      <c r="A120" s="186"/>
      <c r="B120" s="187"/>
      <c r="C120" s="187"/>
      <c r="D120" s="187"/>
      <c r="E120" s="188"/>
      <c r="F120" s="189"/>
      <c r="G120" s="190"/>
      <c r="H120" s="191"/>
      <c r="I120" s="192"/>
      <c r="J120" s="192"/>
      <c r="K120" s="193"/>
      <c r="L120" s="200"/>
      <c r="M120" s="200"/>
      <c r="N120" s="200"/>
      <c r="O120" s="200"/>
      <c r="P120" s="200"/>
    </row>
    <row r="121" spans="1:16" ht="18.75" hidden="1" x14ac:dyDescent="0.25">
      <c r="A121" s="186"/>
      <c r="B121" s="187"/>
      <c r="C121" s="187"/>
      <c r="D121" s="187"/>
      <c r="E121" s="188"/>
      <c r="F121" s="189"/>
      <c r="G121" s="190"/>
      <c r="H121" s="191"/>
      <c r="I121" s="192"/>
      <c r="J121" s="192"/>
      <c r="K121" s="193"/>
      <c r="L121" s="200"/>
      <c r="M121" s="200"/>
      <c r="N121" s="200"/>
      <c r="O121" s="200"/>
      <c r="P121" s="200"/>
    </row>
    <row r="122" spans="1:16" ht="18.75" hidden="1" x14ac:dyDescent="0.25">
      <c r="A122" s="186"/>
      <c r="B122" s="187"/>
      <c r="C122" s="187"/>
      <c r="D122" s="187"/>
      <c r="E122" s="188"/>
      <c r="F122" s="189"/>
      <c r="G122" s="190"/>
      <c r="H122" s="191"/>
      <c r="I122" s="192"/>
      <c r="J122" s="192"/>
      <c r="K122" s="193"/>
      <c r="L122" s="200"/>
      <c r="M122" s="200"/>
      <c r="N122" s="200"/>
      <c r="O122" s="200"/>
      <c r="P122" s="200"/>
    </row>
    <row r="123" spans="1:16" ht="19.5" hidden="1" x14ac:dyDescent="0.3">
      <c r="A123" s="207" t="s">
        <v>49</v>
      </c>
      <c r="B123" s="17"/>
      <c r="C123" s="208"/>
      <c r="D123" s="17"/>
      <c r="E123" s="17"/>
      <c r="F123" s="17"/>
      <c r="G123" s="17"/>
      <c r="H123" s="17"/>
      <c r="I123" s="209"/>
      <c r="J123" s="209"/>
      <c r="K123" s="210"/>
      <c r="L123" s="23"/>
      <c r="M123" s="23"/>
      <c r="N123" s="23"/>
      <c r="O123" s="23"/>
      <c r="P123" s="23"/>
    </row>
    <row r="124" spans="1:16" ht="19.5" hidden="1" x14ac:dyDescent="0.3">
      <c r="A124" s="211"/>
      <c r="B124" s="212" t="s">
        <v>50</v>
      </c>
      <c r="C124" s="208"/>
      <c r="D124" s="213"/>
      <c r="E124" s="17"/>
      <c r="F124" s="17"/>
      <c r="G124" s="20"/>
      <c r="H124" s="20"/>
      <c r="I124" s="339">
        <v>0</v>
      </c>
      <c r="J124" s="339">
        <v>0</v>
      </c>
      <c r="K124" s="27">
        <v>0</v>
      </c>
      <c r="L124" s="23"/>
      <c r="M124" s="23"/>
      <c r="N124" s="23"/>
      <c r="O124" s="23"/>
      <c r="P124" s="23"/>
    </row>
    <row r="125" spans="1:16" ht="19.5" hidden="1" x14ac:dyDescent="0.3">
      <c r="A125" s="211"/>
      <c r="B125" s="17"/>
      <c r="C125" s="212" t="s">
        <v>16</v>
      </c>
      <c r="D125" s="19" t="s">
        <v>17</v>
      </c>
      <c r="E125" s="17"/>
      <c r="F125" s="17"/>
      <c r="G125" s="20"/>
      <c r="H125" s="215" t="s">
        <v>12</v>
      </c>
      <c r="I125" s="22"/>
      <c r="J125" s="22"/>
      <c r="K125" s="23"/>
      <c r="L125" s="24">
        <f ca="1">L126+L127</f>
        <v>0</v>
      </c>
      <c r="M125" s="24">
        <f ca="1">M126+M127</f>
        <v>0</v>
      </c>
      <c r="N125" s="24">
        <f ca="1">N126+N127</f>
        <v>0</v>
      </c>
      <c r="O125" s="24">
        <f ca="1">IF(L125&gt;0,N125*100/L125,0)</f>
        <v>0</v>
      </c>
      <c r="P125" s="24">
        <f ca="1">IF(M125&gt;0,N125*100/M125,0)</f>
        <v>0</v>
      </c>
    </row>
    <row r="126" spans="1:16" ht="18.75" hidden="1" x14ac:dyDescent="0.25">
      <c r="A126" s="216"/>
      <c r="B126" s="189"/>
      <c r="C126" s="189"/>
      <c r="D126" s="189"/>
      <c r="E126" s="188" t="s">
        <v>18</v>
      </c>
      <c r="F126" s="189"/>
      <c r="G126" s="190"/>
      <c r="H126" s="217" t="s">
        <v>12</v>
      </c>
      <c r="I126" s="198"/>
      <c r="J126" s="198"/>
      <c r="K126" s="200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211"/>
      <c r="B127" s="17"/>
      <c r="C127" s="17"/>
      <c r="D127" s="17"/>
      <c r="E127" s="25" t="s">
        <v>19</v>
      </c>
      <c r="F127" s="17"/>
      <c r="G127" s="20"/>
      <c r="H127" s="218" t="s">
        <v>12</v>
      </c>
      <c r="I127" s="22"/>
      <c r="J127" s="22"/>
      <c r="K127" s="23"/>
      <c r="L127" s="27">
        <f ca="1">L130+L133</f>
        <v>0</v>
      </c>
      <c r="M127" s="27">
        <f ca="1">M130+M133</f>
        <v>0</v>
      </c>
      <c r="N127" s="27">
        <f ca="1">N130+N133</f>
        <v>0</v>
      </c>
      <c r="O127" s="27">
        <f ca="1">IF(L127&gt;0,N127*100/L127,0)</f>
        <v>0</v>
      </c>
      <c r="P127" s="27">
        <f ca="1">IF(M127&gt;0,N127*100/M127,0)</f>
        <v>0</v>
      </c>
    </row>
    <row r="128" spans="1:16" ht="18.75" hidden="1" x14ac:dyDescent="0.25">
      <c r="A128" s="211"/>
      <c r="B128" s="17"/>
      <c r="C128" s="17"/>
      <c r="D128" s="28" t="s">
        <v>20</v>
      </c>
      <c r="E128" s="17"/>
      <c r="F128" s="17"/>
      <c r="G128" s="20"/>
      <c r="H128" s="219" t="s">
        <v>12</v>
      </c>
      <c r="I128" s="22"/>
      <c r="J128" s="22"/>
      <c r="K128" s="23"/>
      <c r="L128" s="27">
        <f ca="1">L129+L130</f>
        <v>0</v>
      </c>
      <c r="M128" s="27">
        <f ca="1">M129+M130</f>
        <v>0</v>
      </c>
      <c r="N128" s="27">
        <f ca="1">N129+N130</f>
        <v>0</v>
      </c>
      <c r="O128" s="27">
        <f ca="1">IF(L128&gt;0,N128*100/L128,0)</f>
        <v>0</v>
      </c>
      <c r="P128" s="27">
        <f ca="1">IF(M128&gt;0,N128*100/M128,0)</f>
        <v>0</v>
      </c>
    </row>
    <row r="129" spans="1:16" ht="18.75" hidden="1" x14ac:dyDescent="0.25">
      <c r="A129" s="216"/>
      <c r="B129" s="189"/>
      <c r="C129" s="189"/>
      <c r="D129" s="189"/>
      <c r="E129" s="188" t="s">
        <v>34</v>
      </c>
      <c r="F129" s="189"/>
      <c r="G129" s="190"/>
      <c r="H129" s="220" t="s">
        <v>12</v>
      </c>
      <c r="I129" s="198"/>
      <c r="J129" s="198"/>
      <c r="K129" s="200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211"/>
      <c r="B130" s="17"/>
      <c r="C130" s="17"/>
      <c r="D130" s="17"/>
      <c r="E130" s="25" t="s">
        <v>35</v>
      </c>
      <c r="F130" s="17"/>
      <c r="G130" s="20"/>
      <c r="H130" s="219" t="s">
        <v>12</v>
      </c>
      <c r="I130" s="22"/>
      <c r="J130" s="22"/>
      <c r="K130" s="23"/>
      <c r="L130" s="27">
        <f ca="1">IFERROR(__xludf.DUMMYFUNCTION("IMPORTRANGE(""https://docs.google.com/spreadsheets/d/1-uDff_7J0KD5mKrp0Vvzr7lt3OU09vwQwhkpOPPYv2Y/edit?usp=sharing"",""งบพรบ!BG53"")"),0)</f>
        <v>0</v>
      </c>
      <c r="M130" s="27">
        <f ca="1">IFERROR(__xludf.DUMMYFUNCTION("IMPORTRANGE(""https://docs.google.com/spreadsheets/d/1-uDff_7J0KD5mKrp0Vvzr7lt3OU09vwQwhkpOPPYv2Y/edit?usp=sharing"",""งบพรบ!BL53"")"),0)</f>
        <v>0</v>
      </c>
      <c r="N130" s="27">
        <f ca="1">IFERROR(__xludf.DUMMYFUNCTION("IMPORTRANGE(""https://docs.google.com/spreadsheets/d/1-uDff_7J0KD5mKrp0Vvzr7lt3OU09vwQwhkpOPPYv2Y/edit?usp=sharing"",""งบพรบ!BN53"")"),0)</f>
        <v>0</v>
      </c>
      <c r="O130" s="27">
        <f ca="1">IF(L130&gt;0,N130*100/L130,0)</f>
        <v>0</v>
      </c>
      <c r="P130" s="27">
        <f ca="1">IF(M130&gt;0,N130*100/M130,0)</f>
        <v>0</v>
      </c>
    </row>
    <row r="131" spans="1:16" ht="18.75" hidden="1" x14ac:dyDescent="0.25">
      <c r="A131" s="211"/>
      <c r="B131" s="17"/>
      <c r="C131" s="17"/>
      <c r="D131" s="28" t="s">
        <v>21</v>
      </c>
      <c r="E131" s="17"/>
      <c r="F131" s="17"/>
      <c r="G131" s="20"/>
      <c r="H131" s="218" t="s">
        <v>12</v>
      </c>
      <c r="I131" s="22"/>
      <c r="J131" s="22"/>
      <c r="K131" s="23"/>
      <c r="L131" s="27">
        <f ca="1">L132+L133</f>
        <v>0</v>
      </c>
      <c r="M131" s="27">
        <f ca="1">M132+M133</f>
        <v>0</v>
      </c>
      <c r="N131" s="27">
        <f ca="1">N132+N133</f>
        <v>0</v>
      </c>
      <c r="O131" s="27">
        <f ca="1">IF(L131&gt;0,N131*100/L131,0)</f>
        <v>0</v>
      </c>
      <c r="P131" s="27">
        <f ca="1">IF(M131&gt;0,N131*100/M131,0)</f>
        <v>0</v>
      </c>
    </row>
    <row r="132" spans="1:16" ht="18.75" hidden="1" x14ac:dyDescent="0.25">
      <c r="A132" s="216"/>
      <c r="B132" s="189"/>
      <c r="C132" s="189"/>
      <c r="D132" s="189"/>
      <c r="E132" s="188" t="s">
        <v>18</v>
      </c>
      <c r="F132" s="189"/>
      <c r="G132" s="190"/>
      <c r="H132" s="220" t="s">
        <v>12</v>
      </c>
      <c r="I132" s="198"/>
      <c r="J132" s="198"/>
      <c r="K132" s="200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211"/>
      <c r="B133" s="17"/>
      <c r="C133" s="17"/>
      <c r="D133" s="17"/>
      <c r="E133" s="25" t="s">
        <v>19</v>
      </c>
      <c r="F133" s="17"/>
      <c r="G133" s="20"/>
      <c r="H133" s="218" t="s">
        <v>12</v>
      </c>
      <c r="I133" s="22"/>
      <c r="J133" s="22"/>
      <c r="K133" s="23"/>
      <c r="L133" s="27">
        <f ca="1">IFERROR(__xludf.DUMMYFUNCTION("IMPORTRANGE(""https://docs.google.com/spreadsheets/d/1-uDff_7J0KD5mKrp0Vvzr7lt3OU09vwQwhkpOPPYv2Y/edit?usp=sharing"",""งบพรบ!BJ53"")"),0)</f>
        <v>0</v>
      </c>
      <c r="M133" s="27">
        <f ca="1">IFERROR(__xludf.DUMMYFUNCTION("IMPORTRANGE(""https://docs.google.com/spreadsheets/d/1-uDff_7J0KD5mKrp0Vvzr7lt3OU09vwQwhkpOPPYv2Y/edit?usp=sharing"",""งบพรบ!BM53"")"),0)</f>
        <v>0</v>
      </c>
      <c r="N133" s="27">
        <f ca="1">IFERROR(__xludf.DUMMYFUNCTION("IMPORTRANGE(""https://docs.google.com/spreadsheets/d/1-uDff_7J0KD5mKrp0Vvzr7lt3OU09vwQwhkpOPPYv2Y/edit?usp=sharing"",""งบพรบ!BO53"")"),0)</f>
        <v>0</v>
      </c>
      <c r="O133" s="27">
        <f ca="1">IF(L133&gt;0,N133*100/L133,0)</f>
        <v>0</v>
      </c>
      <c r="P133" s="27">
        <f ca="1">IF(M133&gt;0,N133*100/M133,0)</f>
        <v>0</v>
      </c>
    </row>
    <row r="134" spans="1:16" ht="19.5" x14ac:dyDescent="0.3">
      <c r="A134" s="146" t="s">
        <v>51</v>
      </c>
      <c r="B134" s="147"/>
      <c r="C134" s="221"/>
      <c r="D134" s="147"/>
      <c r="E134" s="147"/>
      <c r="F134" s="147"/>
      <c r="G134" s="147"/>
      <c r="H134" s="147"/>
      <c r="I134" s="222"/>
      <c r="J134" s="222"/>
      <c r="K134" s="223"/>
      <c r="L134" s="151"/>
      <c r="M134" s="151"/>
      <c r="N134" s="151"/>
      <c r="O134" s="151"/>
      <c r="P134" s="151"/>
    </row>
    <row r="135" spans="1:16" ht="19.5" x14ac:dyDescent="0.3">
      <c r="A135" s="152"/>
      <c r="B135" s="153" t="s">
        <v>52</v>
      </c>
      <c r="C135" s="224"/>
      <c r="D135" s="154"/>
      <c r="E135" s="41"/>
      <c r="F135" s="41"/>
      <c r="G135" s="41"/>
      <c r="H135" s="41"/>
      <c r="I135" s="46"/>
      <c r="J135" s="46"/>
      <c r="K135" s="47"/>
      <c r="L135" s="47"/>
      <c r="M135" s="47"/>
      <c r="N135" s="47"/>
      <c r="O135" s="47"/>
      <c r="P135" s="47"/>
    </row>
    <row r="136" spans="1:16" ht="19.5" x14ac:dyDescent="0.3">
      <c r="A136" s="152"/>
      <c r="B136" s="41"/>
      <c r="C136" s="225" t="s">
        <v>53</v>
      </c>
      <c r="D136" s="154"/>
      <c r="E136" s="41"/>
      <c r="F136" s="41"/>
      <c r="G136" s="44"/>
      <c r="H136" s="226" t="s">
        <v>54</v>
      </c>
      <c r="I136" s="156">
        <f ca="1">I154</f>
        <v>0</v>
      </c>
      <c r="J136" s="156">
        <f>J154</f>
        <v>0</v>
      </c>
      <c r="K136" s="48">
        <f ca="1">IF(I136&gt;0,J136*100/I136,0)</f>
        <v>0</v>
      </c>
      <c r="L136" s="47"/>
      <c r="M136" s="47"/>
      <c r="N136" s="47"/>
      <c r="O136" s="47"/>
      <c r="P136" s="47"/>
    </row>
    <row r="137" spans="1:16" ht="19.5" x14ac:dyDescent="0.3">
      <c r="A137" s="152"/>
      <c r="B137" s="41"/>
      <c r="C137" s="225" t="s">
        <v>55</v>
      </c>
      <c r="D137" s="154"/>
      <c r="E137" s="41"/>
      <c r="F137" s="41"/>
      <c r="G137" s="44"/>
      <c r="H137" s="226" t="s">
        <v>33</v>
      </c>
      <c r="I137" s="156">
        <f ca="1">I152</f>
        <v>20</v>
      </c>
      <c r="J137" s="156">
        <f>J152</f>
        <v>0</v>
      </c>
      <c r="K137" s="48">
        <f ca="1">IF(I137&gt;0,J137*100/I137,0)</f>
        <v>0</v>
      </c>
      <c r="L137" s="47"/>
      <c r="M137" s="47"/>
      <c r="N137" s="47"/>
      <c r="O137" s="47"/>
      <c r="P137" s="47"/>
    </row>
    <row r="138" spans="1:16" ht="19.5" x14ac:dyDescent="0.3">
      <c r="A138" s="152"/>
      <c r="B138" s="41"/>
      <c r="C138" s="225"/>
      <c r="D138" s="154"/>
      <c r="E138" s="41"/>
      <c r="F138" s="41"/>
      <c r="G138" s="44"/>
      <c r="H138" s="226" t="s">
        <v>56</v>
      </c>
      <c r="I138" s="156">
        <f ca="1">I153</f>
        <v>2</v>
      </c>
      <c r="J138" s="156">
        <f>J153</f>
        <v>0</v>
      </c>
      <c r="K138" s="48">
        <f ca="1">IF(I138&gt;0,J138*100/I138,0)</f>
        <v>0</v>
      </c>
      <c r="L138" s="47"/>
      <c r="M138" s="47"/>
      <c r="N138" s="47"/>
      <c r="O138" s="47"/>
      <c r="P138" s="47"/>
    </row>
    <row r="139" spans="1:16" ht="19.5" x14ac:dyDescent="0.3">
      <c r="A139" s="157"/>
      <c r="B139" s="53"/>
      <c r="C139" s="158" t="s">
        <v>16</v>
      </c>
      <c r="D139" s="574" t="s">
        <v>17</v>
      </c>
      <c r="E139" s="53"/>
      <c r="F139" s="53"/>
      <c r="G139" s="55"/>
      <c r="H139" s="160" t="s">
        <v>12</v>
      </c>
      <c r="I139" s="57"/>
      <c r="J139" s="57"/>
      <c r="K139" s="58"/>
      <c r="L139" s="161">
        <f ca="1">L140+L141</f>
        <v>119900</v>
      </c>
      <c r="M139" s="161">
        <f ca="1">M140+M141</f>
        <v>90100</v>
      </c>
      <c r="N139" s="161">
        <f ca="1">N140+N141</f>
        <v>33227</v>
      </c>
      <c r="O139" s="161">
        <f ca="1">IF(L139&gt;0,N139*100/L139,0)</f>
        <v>27.712260216847373</v>
      </c>
      <c r="P139" s="161">
        <f ca="1">IF(M139&gt;0,N139*100/M139,0)</f>
        <v>36.877913429522749</v>
      </c>
    </row>
    <row r="140" spans="1:16" ht="18.75" hidden="1" x14ac:dyDescent="0.25">
      <c r="A140" s="541"/>
      <c r="B140" s="526"/>
      <c r="C140" s="526"/>
      <c r="D140" s="526"/>
      <c r="E140" s="540" t="s">
        <v>18</v>
      </c>
      <c r="F140" s="526"/>
      <c r="G140" s="525"/>
      <c r="H140" s="544" t="s">
        <v>12</v>
      </c>
      <c r="I140" s="199"/>
      <c r="J140" s="199"/>
      <c r="K140" s="521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157"/>
      <c r="B141" s="53"/>
      <c r="C141" s="53"/>
      <c r="D141" s="53"/>
      <c r="E141" s="336" t="s">
        <v>19</v>
      </c>
      <c r="F141" s="53"/>
      <c r="G141" s="55"/>
      <c r="H141" s="162" t="s">
        <v>12</v>
      </c>
      <c r="I141" s="57"/>
      <c r="J141" s="57"/>
      <c r="K141" s="58"/>
      <c r="L141" s="61">
        <f ca="1">L144+L147</f>
        <v>119900</v>
      </c>
      <c r="M141" s="61">
        <f ca="1">M144+M147</f>
        <v>90100</v>
      </c>
      <c r="N141" s="61">
        <f ca="1">N144+N147</f>
        <v>33227</v>
      </c>
      <c r="O141" s="61">
        <f ca="1">IF(L141&gt;0,N141*100/L141,0)</f>
        <v>27.712260216847373</v>
      </c>
      <c r="P141" s="61">
        <f ca="1">IF(M141&gt;0,N141*100/M141,0)</f>
        <v>36.877913429522749</v>
      </c>
    </row>
    <row r="142" spans="1:16" ht="18.75" x14ac:dyDescent="0.25">
      <c r="A142" s="157"/>
      <c r="B142" s="53"/>
      <c r="C142" s="53"/>
      <c r="D142" s="573" t="s">
        <v>20</v>
      </c>
      <c r="E142" s="53"/>
      <c r="F142" s="53"/>
      <c r="G142" s="55"/>
      <c r="H142" s="163" t="s">
        <v>12</v>
      </c>
      <c r="I142" s="164"/>
      <c r="J142" s="164"/>
      <c r="K142" s="165"/>
      <c r="L142" s="61">
        <f ca="1">L143+L144</f>
        <v>119900</v>
      </c>
      <c r="M142" s="61">
        <f ca="1">M143+M144</f>
        <v>90100</v>
      </c>
      <c r="N142" s="61">
        <f ca="1">N143+N144</f>
        <v>33227</v>
      </c>
      <c r="O142" s="61">
        <f ca="1">IF(L142&gt;0,N142*100/L142,0)</f>
        <v>27.712260216847373</v>
      </c>
      <c r="P142" s="61">
        <f ca="1">IF(M142&gt;0,N142*100/M142,0)</f>
        <v>36.877913429522749</v>
      </c>
    </row>
    <row r="143" spans="1:16" ht="18.75" hidden="1" x14ac:dyDescent="0.25">
      <c r="A143" s="541"/>
      <c r="B143" s="526"/>
      <c r="C143" s="526"/>
      <c r="D143" s="526"/>
      <c r="E143" s="540" t="s">
        <v>34</v>
      </c>
      <c r="F143" s="526"/>
      <c r="G143" s="525"/>
      <c r="H143" s="542" t="s">
        <v>12</v>
      </c>
      <c r="I143" s="532"/>
      <c r="J143" s="532"/>
      <c r="K143" s="531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157"/>
      <c r="B144" s="53"/>
      <c r="C144" s="53"/>
      <c r="D144" s="53"/>
      <c r="E144" s="336" t="s">
        <v>35</v>
      </c>
      <c r="F144" s="53"/>
      <c r="G144" s="55"/>
      <c r="H144" s="163" t="s">
        <v>12</v>
      </c>
      <c r="I144" s="164"/>
      <c r="J144" s="164"/>
      <c r="K144" s="165"/>
      <c r="L144" s="61">
        <f ca="1">IFERROR(__xludf.DUMMYFUNCTION("IMPORTRANGE(""https://docs.google.com/spreadsheets/d/1-uDff_7J0KD5mKrp0Vvzr7lt3OU09vwQwhkpOPPYv2Y/edit?usp=sharing"",""งบพรบ!BQ53"")"),119900)</f>
        <v>119900</v>
      </c>
      <c r="M144" s="61">
        <f ca="1">IFERROR(__xludf.DUMMYFUNCTION("IMPORTRANGE(""https://docs.google.com/spreadsheets/d/1-uDff_7J0KD5mKrp0Vvzr7lt3OU09vwQwhkpOPPYv2Y/edit?usp=sharing"",""งบพรบ!BV53"")"),90100)</f>
        <v>90100</v>
      </c>
      <c r="N144" s="61">
        <f ca="1">IFERROR(__xludf.DUMMYFUNCTION("IMPORTRANGE(""https://docs.google.com/spreadsheets/d/1-uDff_7J0KD5mKrp0Vvzr7lt3OU09vwQwhkpOPPYv2Y/edit?usp=sharing"",""งบพรบ!BX53"")"),33227)</f>
        <v>33227</v>
      </c>
      <c r="O144" s="61">
        <f ca="1">IF(L144&gt;0,N144*100/L144,0)</f>
        <v>27.712260216847373</v>
      </c>
      <c r="P144" s="61">
        <f ca="1">IF(M144&gt;0,N144*100/M144,0)</f>
        <v>36.877913429522749</v>
      </c>
    </row>
    <row r="145" spans="1:16" ht="18.75" x14ac:dyDescent="0.25">
      <c r="A145" s="157"/>
      <c r="B145" s="53"/>
      <c r="C145" s="53"/>
      <c r="D145" s="573" t="s">
        <v>21</v>
      </c>
      <c r="E145" s="53"/>
      <c r="F145" s="53"/>
      <c r="G145" s="55"/>
      <c r="H145" s="166" t="s">
        <v>12</v>
      </c>
      <c r="I145" s="164"/>
      <c r="J145" s="164"/>
      <c r="K145" s="165"/>
      <c r="L145" s="61">
        <f ca="1">L146+L147</f>
        <v>0</v>
      </c>
      <c r="M145" s="61">
        <f ca="1">M146+M147</f>
        <v>0</v>
      </c>
      <c r="N145" s="61">
        <f ca="1">N146+N147</f>
        <v>0</v>
      </c>
      <c r="O145" s="61">
        <f ca="1">IF(L145&gt;0,N145*100/L145,0)</f>
        <v>0</v>
      </c>
      <c r="P145" s="61">
        <f ca="1">IF(M145&gt;0,N145*100/M145,0)</f>
        <v>0</v>
      </c>
    </row>
    <row r="146" spans="1:16" ht="18.75" hidden="1" x14ac:dyDescent="0.25">
      <c r="A146" s="541"/>
      <c r="B146" s="526"/>
      <c r="C146" s="526"/>
      <c r="D146" s="526"/>
      <c r="E146" s="540" t="s">
        <v>18</v>
      </c>
      <c r="F146" s="526"/>
      <c r="G146" s="525"/>
      <c r="H146" s="542" t="s">
        <v>12</v>
      </c>
      <c r="I146" s="532"/>
      <c r="J146" s="532"/>
      <c r="K146" s="531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157"/>
      <c r="B147" s="53"/>
      <c r="C147" s="53"/>
      <c r="D147" s="53"/>
      <c r="E147" s="336" t="s">
        <v>19</v>
      </c>
      <c r="F147" s="53"/>
      <c r="G147" s="55"/>
      <c r="H147" s="166" t="s">
        <v>12</v>
      </c>
      <c r="I147" s="164"/>
      <c r="J147" s="164"/>
      <c r="K147" s="165"/>
      <c r="L147" s="61">
        <f ca="1">IFERROR(__xludf.DUMMYFUNCTION("IMPORTRANGE(""https://docs.google.com/spreadsheets/d/1-uDff_7J0KD5mKrp0Vvzr7lt3OU09vwQwhkpOPPYv2Y/edit?usp=sharing"",""งบพรบ!BT53"")"),0)</f>
        <v>0</v>
      </c>
      <c r="M147" s="61">
        <f ca="1">IFERROR(__xludf.DUMMYFUNCTION("IMPORTRANGE(""https://docs.google.com/spreadsheets/d/1-uDff_7J0KD5mKrp0Vvzr7lt3OU09vwQwhkpOPPYv2Y/edit?usp=sharing"",""งบพรบ!BW53"")"),0)</f>
        <v>0</v>
      </c>
      <c r="N147" s="61">
        <f ca="1">IFERROR(__xludf.DUMMYFUNCTION("IMPORTRANGE(""https://docs.google.com/spreadsheets/d/1-uDff_7J0KD5mKrp0Vvzr7lt3OU09vwQwhkpOPPYv2Y/edit?usp=sharing"",""งบพรบ!BY53"")"),0)</f>
        <v>0</v>
      </c>
      <c r="O147" s="61">
        <f ca="1">IF(L147&gt;0,N147*100/L147,0)</f>
        <v>0</v>
      </c>
      <c r="P147" s="61">
        <f ca="1">IF(M147&gt;0,N147*100/M147,0)</f>
        <v>0</v>
      </c>
    </row>
    <row r="148" spans="1:16" ht="19.5" x14ac:dyDescent="0.3">
      <c r="A148" s="167"/>
      <c r="B148" s="168"/>
      <c r="C148" s="158" t="s">
        <v>16</v>
      </c>
      <c r="D148" s="571" t="s">
        <v>36</v>
      </c>
      <c r="E148" s="170"/>
      <c r="F148" s="170"/>
      <c r="G148" s="171"/>
      <c r="H148" s="227"/>
      <c r="I148" s="57"/>
      <c r="J148" s="57"/>
      <c r="K148" s="58"/>
      <c r="L148" s="58"/>
      <c r="M148" s="58"/>
      <c r="N148" s="58"/>
      <c r="O148" s="58"/>
      <c r="P148" s="58"/>
    </row>
    <row r="149" spans="1:16" ht="18.75" x14ac:dyDescent="0.25">
      <c r="A149" s="157"/>
      <c r="B149" s="53"/>
      <c r="C149" s="53"/>
      <c r="D149" s="336" t="s">
        <v>57</v>
      </c>
      <c r="E149" s="53"/>
      <c r="F149" s="53"/>
      <c r="G149" s="55"/>
      <c r="H149" s="227"/>
      <c r="I149" s="57"/>
      <c r="J149" s="578">
        <v>0</v>
      </c>
      <c r="K149" s="58"/>
      <c r="L149" s="58"/>
      <c r="M149" s="58"/>
      <c r="N149" s="58"/>
      <c r="O149" s="58"/>
      <c r="P149" s="58"/>
    </row>
    <row r="150" spans="1:16" ht="19.5" x14ac:dyDescent="0.3">
      <c r="A150" s="228"/>
      <c r="B150" s="63"/>
      <c r="C150" s="63"/>
      <c r="D150" s="229"/>
      <c r="E150" s="233" t="s">
        <v>58</v>
      </c>
      <c r="F150" s="63"/>
      <c r="G150" s="65"/>
      <c r="H150" s="234" t="s">
        <v>33</v>
      </c>
      <c r="I150" s="235">
        <f ca="1">IFERROR(__xludf.DUMMYFUNCTION("IMPORTRANGE(""https://docs.google.com/spreadsheets/d/1eHaY18a8A9IcSdp1K8H6x8fbOy06t2VsZHhMHf-1x7Y/edit?usp=sharing"",""แผน!U53"")"),0)</f>
        <v>0</v>
      </c>
      <c r="J150" s="633">
        <v>0</v>
      </c>
      <c r="K150" s="69">
        <f ca="1">IF(I150&gt;0,J150*100/I150,0)</f>
        <v>0</v>
      </c>
      <c r="L150" s="68"/>
      <c r="M150" s="68"/>
      <c r="N150" s="68"/>
      <c r="O150" s="68"/>
      <c r="P150" s="68"/>
    </row>
    <row r="151" spans="1:16" ht="18.75" x14ac:dyDescent="0.25">
      <c r="A151" s="228"/>
      <c r="B151" s="63"/>
      <c r="C151" s="63"/>
      <c r="D151" s="229"/>
      <c r="E151" s="233"/>
      <c r="F151" s="63"/>
      <c r="G151" s="65"/>
      <c r="H151" s="234" t="s">
        <v>56</v>
      </c>
      <c r="I151" s="235">
        <f ca="1">IFERROR(__xludf.DUMMYFUNCTION("IMPORTRANGE(""https://docs.google.com/spreadsheets/d/1eHaY18a8A9IcSdp1K8H6x8fbOy06t2VsZHhMHf-1x7Y/edit?usp=sharing"",""แผน!V53"")"),0)</f>
        <v>0</v>
      </c>
      <c r="J151" s="633">
        <v>0</v>
      </c>
      <c r="K151" s="69">
        <f ca="1">IF(I151&gt;0,J151*100/I151,0)</f>
        <v>0</v>
      </c>
      <c r="L151" s="68"/>
      <c r="M151" s="68"/>
      <c r="N151" s="68"/>
      <c r="O151" s="68"/>
      <c r="P151" s="68"/>
    </row>
    <row r="152" spans="1:16" ht="19.5" x14ac:dyDescent="0.3">
      <c r="A152" s="228"/>
      <c r="B152" s="63"/>
      <c r="C152" s="63"/>
      <c r="D152" s="229"/>
      <c r="E152" s="233" t="s">
        <v>59</v>
      </c>
      <c r="F152" s="63"/>
      <c r="G152" s="65"/>
      <c r="H152" s="234" t="s">
        <v>33</v>
      </c>
      <c r="I152" s="235">
        <f ca="1">IFERROR(__xludf.DUMMYFUNCTION("IMPORTRANGE(""https://docs.google.com/spreadsheets/d/1eHaY18a8A9IcSdp1K8H6x8fbOy06t2VsZHhMHf-1x7Y/edit?usp=sharing"",""แผน!W53"")"),20)</f>
        <v>20</v>
      </c>
      <c r="J152" s="633">
        <v>0</v>
      </c>
      <c r="K152" s="69">
        <f ca="1">IF(I152&gt;0,J152*100/I152,0)</f>
        <v>0</v>
      </c>
      <c r="L152" s="68"/>
      <c r="M152" s="68"/>
      <c r="N152" s="68"/>
      <c r="O152" s="68"/>
      <c r="P152" s="68"/>
    </row>
    <row r="153" spans="1:16" ht="19.5" x14ac:dyDescent="0.3">
      <c r="A153" s="228"/>
      <c r="B153" s="63"/>
      <c r="C153" s="63"/>
      <c r="D153" s="233"/>
      <c r="E153" s="236"/>
      <c r="F153" s="63"/>
      <c r="G153" s="65"/>
      <c r="H153" s="234" t="s">
        <v>56</v>
      </c>
      <c r="I153" s="235">
        <f ca="1">IFERROR(__xludf.DUMMYFUNCTION("IMPORTRANGE(""https://docs.google.com/spreadsheets/d/1eHaY18a8A9IcSdp1K8H6x8fbOy06t2VsZHhMHf-1x7Y/edit?usp=sharing"",""แผน!X53"")"),2)</f>
        <v>2</v>
      </c>
      <c r="J153" s="633">
        <v>0</v>
      </c>
      <c r="K153" s="69">
        <f ca="1">IF(I153&gt;0,J153*100/I153,0)</f>
        <v>0</v>
      </c>
      <c r="L153" s="68"/>
      <c r="M153" s="68"/>
      <c r="N153" s="68"/>
      <c r="O153" s="68"/>
      <c r="P153" s="68"/>
    </row>
    <row r="154" spans="1:16" ht="18.75" x14ac:dyDescent="0.25">
      <c r="A154" s="237"/>
      <c r="B154" s="238"/>
      <c r="C154" s="238"/>
      <c r="D154" s="239" t="s">
        <v>60</v>
      </c>
      <c r="E154" s="238"/>
      <c r="F154" s="238"/>
      <c r="G154" s="240"/>
      <c r="H154" s="241" t="s">
        <v>54</v>
      </c>
      <c r="I154" s="243">
        <f ca="1">IFERROR(__xludf.DUMMYFUNCTION("IMPORTRANGE(""https://docs.google.com/spreadsheets/d/1eHaY18a8A9IcSdp1K8H6x8fbOy06t2VsZHhMHf-1x7Y/edit?usp=sharing"",""แผน!Y53"")"),0)</f>
        <v>0</v>
      </c>
      <c r="J154" s="632">
        <v>0</v>
      </c>
      <c r="K154" s="69">
        <f ca="1">IF(I154&gt;0,J154*100/I154,0)</f>
        <v>0</v>
      </c>
      <c r="L154" s="244"/>
      <c r="M154" s="244"/>
      <c r="N154" s="244"/>
      <c r="O154" s="244"/>
      <c r="P154" s="244"/>
    </row>
    <row r="155" spans="1:16" ht="19.5" x14ac:dyDescent="0.3">
      <c r="A155" s="245" t="s">
        <v>61</v>
      </c>
      <c r="B155" s="246"/>
      <c r="C155" s="247"/>
      <c r="D155" s="246"/>
      <c r="E155" s="246"/>
      <c r="F155" s="246"/>
      <c r="G155" s="246"/>
      <c r="H155" s="246"/>
      <c r="I155" s="248"/>
      <c r="J155" s="248"/>
      <c r="K155" s="249"/>
      <c r="L155" s="250"/>
      <c r="M155" s="250"/>
      <c r="N155" s="250"/>
      <c r="O155" s="250"/>
      <c r="P155" s="250"/>
    </row>
    <row r="156" spans="1:16" ht="19.5" x14ac:dyDescent="0.3">
      <c r="A156" s="152"/>
      <c r="B156" s="153" t="s">
        <v>62</v>
      </c>
      <c r="C156" s="41"/>
      <c r="D156" s="41"/>
      <c r="E156" s="41"/>
      <c r="F156" s="41"/>
      <c r="G156" s="44"/>
      <c r="H156" s="251" t="s">
        <v>33</v>
      </c>
      <c r="I156" s="156">
        <f ca="1">I167</f>
        <v>10</v>
      </c>
      <c r="J156" s="156">
        <f>J167</f>
        <v>0</v>
      </c>
      <c r="K156" s="48">
        <f ca="1">IF(I156&gt;0,J156*100/I156,0)</f>
        <v>0</v>
      </c>
      <c r="L156" s="47"/>
      <c r="M156" s="47"/>
      <c r="N156" s="47"/>
      <c r="O156" s="47"/>
      <c r="P156" s="47"/>
    </row>
    <row r="157" spans="1:16" ht="19.5" x14ac:dyDescent="0.3">
      <c r="A157" s="157"/>
      <c r="B157" s="53"/>
      <c r="C157" s="158" t="s">
        <v>16</v>
      </c>
      <c r="D157" s="574" t="s">
        <v>17</v>
      </c>
      <c r="E157" s="53"/>
      <c r="F157" s="53"/>
      <c r="G157" s="55"/>
      <c r="H157" s="160" t="s">
        <v>12</v>
      </c>
      <c r="I157" s="57"/>
      <c r="J157" s="57"/>
      <c r="K157" s="58"/>
      <c r="L157" s="161">
        <f ca="1">L158+L159</f>
        <v>3000</v>
      </c>
      <c r="M157" s="161">
        <f ca="1">M158+M159</f>
        <v>0</v>
      </c>
      <c r="N157" s="161">
        <f ca="1">N158+N159</f>
        <v>0</v>
      </c>
      <c r="O157" s="161">
        <f ca="1">IF(L157&gt;0,N157*100/L157,0)</f>
        <v>0</v>
      </c>
      <c r="P157" s="161">
        <f ca="1">IF(M157&gt;0,N157*100/M157,0)</f>
        <v>0</v>
      </c>
    </row>
    <row r="158" spans="1:16" ht="18.75" hidden="1" x14ac:dyDescent="0.25">
      <c r="A158" s="541"/>
      <c r="B158" s="526"/>
      <c r="C158" s="526"/>
      <c r="D158" s="526"/>
      <c r="E158" s="540" t="s">
        <v>18</v>
      </c>
      <c r="F158" s="526"/>
      <c r="G158" s="525"/>
      <c r="H158" s="544" t="s">
        <v>12</v>
      </c>
      <c r="I158" s="199"/>
      <c r="J158" s="199"/>
      <c r="K158" s="521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157"/>
      <c r="B159" s="53"/>
      <c r="C159" s="53"/>
      <c r="D159" s="53"/>
      <c r="E159" s="336" t="s">
        <v>19</v>
      </c>
      <c r="F159" s="53"/>
      <c r="G159" s="55"/>
      <c r="H159" s="162" t="s">
        <v>12</v>
      </c>
      <c r="I159" s="57"/>
      <c r="J159" s="57"/>
      <c r="K159" s="58"/>
      <c r="L159" s="61">
        <f ca="1">L162+L165</f>
        <v>3000</v>
      </c>
      <c r="M159" s="61">
        <f ca="1">M162+M165</f>
        <v>0</v>
      </c>
      <c r="N159" s="61">
        <f ca="1">N162+N165</f>
        <v>0</v>
      </c>
      <c r="O159" s="61">
        <f ca="1">IF(L159&gt;0,N159*100/L159,0)</f>
        <v>0</v>
      </c>
      <c r="P159" s="61">
        <f ca="1">IF(M159&gt;0,N159*100/M159,0)</f>
        <v>0</v>
      </c>
    </row>
    <row r="160" spans="1:16" ht="18.75" x14ac:dyDescent="0.25">
      <c r="A160" s="157"/>
      <c r="B160" s="53"/>
      <c r="C160" s="53"/>
      <c r="D160" s="573" t="s">
        <v>20</v>
      </c>
      <c r="E160" s="53"/>
      <c r="F160" s="53"/>
      <c r="G160" s="55"/>
      <c r="H160" s="163" t="s">
        <v>12</v>
      </c>
      <c r="I160" s="164"/>
      <c r="J160" s="164"/>
      <c r="K160" s="165"/>
      <c r="L160" s="61">
        <f ca="1">L161+L162</f>
        <v>3000</v>
      </c>
      <c r="M160" s="61">
        <f ca="1">M161+M162</f>
        <v>0</v>
      </c>
      <c r="N160" s="61">
        <f ca="1">N161+N162</f>
        <v>0</v>
      </c>
      <c r="O160" s="61">
        <f ca="1">IF(L160&gt;0,N160*100/L160,0)</f>
        <v>0</v>
      </c>
      <c r="P160" s="61">
        <f ca="1">IF(M160&gt;0,N160*100/M160,0)</f>
        <v>0</v>
      </c>
    </row>
    <row r="161" spans="1:16" ht="18.75" hidden="1" x14ac:dyDescent="0.25">
      <c r="A161" s="541"/>
      <c r="B161" s="526"/>
      <c r="C161" s="526"/>
      <c r="D161" s="526"/>
      <c r="E161" s="540" t="s">
        <v>34</v>
      </c>
      <c r="F161" s="526"/>
      <c r="G161" s="525"/>
      <c r="H161" s="542" t="s">
        <v>12</v>
      </c>
      <c r="I161" s="532"/>
      <c r="J161" s="532"/>
      <c r="K161" s="531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157"/>
      <c r="B162" s="53"/>
      <c r="C162" s="53"/>
      <c r="D162" s="53"/>
      <c r="E162" s="336" t="s">
        <v>35</v>
      </c>
      <c r="F162" s="53"/>
      <c r="G162" s="55"/>
      <c r="H162" s="163" t="s">
        <v>12</v>
      </c>
      <c r="I162" s="164"/>
      <c r="J162" s="164"/>
      <c r="K162" s="165"/>
      <c r="L162" s="61">
        <f ca="1">IFERROR(__xludf.DUMMYFUNCTION("IMPORTRANGE(""https://docs.google.com/spreadsheets/d/1-uDff_7J0KD5mKrp0Vvzr7lt3OU09vwQwhkpOPPYv2Y/edit?usp=sharing"",""งบพรบ!CA53"")"),3000)</f>
        <v>3000</v>
      </c>
      <c r="M162" s="61">
        <f ca="1">IFERROR(__xludf.DUMMYFUNCTION("IMPORTRANGE(""https://docs.google.com/spreadsheets/d/1-uDff_7J0KD5mKrp0Vvzr7lt3OU09vwQwhkpOPPYv2Y/edit?usp=sharing"",""งบพรบ!CF53"")"),0)</f>
        <v>0</v>
      </c>
      <c r="N162" s="61">
        <f ca="1">IFERROR(__xludf.DUMMYFUNCTION("IMPORTRANGE(""https://docs.google.com/spreadsheets/d/1-uDff_7J0KD5mKrp0Vvzr7lt3OU09vwQwhkpOPPYv2Y/edit?usp=sharing"",""งบพรบ!CH53"")"),0)</f>
        <v>0</v>
      </c>
      <c r="O162" s="61">
        <f ca="1">IF(L162&gt;0,N162*100/L162,0)</f>
        <v>0</v>
      </c>
      <c r="P162" s="61">
        <f ca="1">IF(M162&gt;0,N162*100/M162,0)</f>
        <v>0</v>
      </c>
    </row>
    <row r="163" spans="1:16" ht="18.75" x14ac:dyDescent="0.25">
      <c r="A163" s="157"/>
      <c r="B163" s="53"/>
      <c r="C163" s="53"/>
      <c r="D163" s="573" t="s">
        <v>21</v>
      </c>
      <c r="E163" s="53"/>
      <c r="F163" s="53"/>
      <c r="G163" s="55"/>
      <c r="H163" s="166" t="s">
        <v>12</v>
      </c>
      <c r="I163" s="164"/>
      <c r="J163" s="164"/>
      <c r="K163" s="165"/>
      <c r="L163" s="61">
        <f ca="1">L164+L165</f>
        <v>0</v>
      </c>
      <c r="M163" s="61">
        <f ca="1">M164+M165</f>
        <v>0</v>
      </c>
      <c r="N163" s="61">
        <f ca="1">N164+N165</f>
        <v>0</v>
      </c>
      <c r="O163" s="61">
        <f ca="1">IF(L163&gt;0,N163*100/L163,0)</f>
        <v>0</v>
      </c>
      <c r="P163" s="61">
        <f ca="1">IF(M163&gt;0,N163*100/M163,0)</f>
        <v>0</v>
      </c>
    </row>
    <row r="164" spans="1:16" ht="18.75" hidden="1" x14ac:dyDescent="0.25">
      <c r="A164" s="541"/>
      <c r="B164" s="526"/>
      <c r="C164" s="526"/>
      <c r="D164" s="526"/>
      <c r="E164" s="540" t="s">
        <v>18</v>
      </c>
      <c r="F164" s="526"/>
      <c r="G164" s="525"/>
      <c r="H164" s="542" t="s">
        <v>12</v>
      </c>
      <c r="I164" s="532"/>
      <c r="J164" s="532"/>
      <c r="K164" s="531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157"/>
      <c r="B165" s="53"/>
      <c r="C165" s="53"/>
      <c r="D165" s="53"/>
      <c r="E165" s="336" t="s">
        <v>19</v>
      </c>
      <c r="F165" s="53"/>
      <c r="G165" s="55"/>
      <c r="H165" s="166" t="s">
        <v>12</v>
      </c>
      <c r="I165" s="164"/>
      <c r="J165" s="164"/>
      <c r="K165" s="165"/>
      <c r="L165" s="61">
        <f ca="1">IFERROR(__xludf.DUMMYFUNCTION("IMPORTRANGE(""https://docs.google.com/spreadsheets/d/1-uDff_7J0KD5mKrp0Vvzr7lt3OU09vwQwhkpOPPYv2Y/edit?usp=sharing"",""งบพรบ!CD53"")"),0)</f>
        <v>0</v>
      </c>
      <c r="M165" s="61">
        <f ca="1">IFERROR(__xludf.DUMMYFUNCTION("IMPORTRANGE(""https://docs.google.com/spreadsheets/d/1-uDff_7J0KD5mKrp0Vvzr7lt3OU09vwQwhkpOPPYv2Y/edit?usp=sharing"",""งบพรบ!CG53"")"),0)</f>
        <v>0</v>
      </c>
      <c r="N165" s="61">
        <f ca="1">IFERROR(__xludf.DUMMYFUNCTION("IMPORTRANGE(""https://docs.google.com/spreadsheets/d/1-uDff_7J0KD5mKrp0Vvzr7lt3OU09vwQwhkpOPPYv2Y/edit?usp=sharing"",""งบพรบ!CI53"")"),0)</f>
        <v>0</v>
      </c>
      <c r="O165" s="61">
        <f ca="1">IF(L165&gt;0,N165*100/L165,0)</f>
        <v>0</v>
      </c>
      <c r="P165" s="61">
        <f ca="1">IF(M165&gt;0,N165*100/M165,0)</f>
        <v>0</v>
      </c>
    </row>
    <row r="166" spans="1:16" ht="19.5" x14ac:dyDescent="0.3">
      <c r="A166" s="167"/>
      <c r="B166" s="168"/>
      <c r="C166" s="158" t="s">
        <v>16</v>
      </c>
      <c r="D166" s="571" t="s">
        <v>36</v>
      </c>
      <c r="E166" s="170"/>
      <c r="F166" s="170"/>
      <c r="G166" s="171"/>
      <c r="H166" s="227"/>
      <c r="I166" s="57"/>
      <c r="J166" s="57"/>
      <c r="K166" s="58"/>
      <c r="L166" s="58"/>
      <c r="M166" s="58"/>
      <c r="N166" s="58"/>
      <c r="O166" s="58"/>
      <c r="P166" s="58"/>
    </row>
    <row r="167" spans="1:16" ht="18.75" x14ac:dyDescent="0.25">
      <c r="A167" s="157"/>
      <c r="B167" s="53"/>
      <c r="C167" s="53"/>
      <c r="D167" s="336" t="s">
        <v>63</v>
      </c>
      <c r="E167" s="53"/>
      <c r="F167" s="53"/>
      <c r="G167" s="55"/>
      <c r="H167" s="166" t="s">
        <v>33</v>
      </c>
      <c r="I167" s="196">
        <f ca="1">IFERROR(__xludf.DUMMYFUNCTION("IMPORTRANGE(""https://docs.google.com/spreadsheets/d/1eHaY18a8A9IcSdp1K8H6x8fbOy06t2VsZHhMHf-1x7Y/edit?usp=sharing"",""แผน!Z53"")"),10)</f>
        <v>10</v>
      </c>
      <c r="J167" s="578">
        <v>0</v>
      </c>
      <c r="K167" s="61">
        <f ca="1">IF(I167&gt;0,J167*100/I167,0)</f>
        <v>0</v>
      </c>
      <c r="L167" s="58"/>
      <c r="M167" s="58"/>
      <c r="N167" s="58"/>
      <c r="O167" s="58"/>
      <c r="P167" s="58"/>
    </row>
    <row r="168" spans="1:16" ht="18.75" hidden="1" x14ac:dyDescent="0.25">
      <c r="A168" s="541"/>
      <c r="B168" s="526"/>
      <c r="C168" s="526"/>
      <c r="D168" s="540" t="s">
        <v>64</v>
      </c>
      <c r="E168" s="526"/>
      <c r="F168" s="526"/>
      <c r="G168" s="525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521"/>
      <c r="M168" s="521"/>
      <c r="N168" s="521"/>
      <c r="O168" s="521"/>
      <c r="P168" s="521"/>
    </row>
    <row r="169" spans="1:16" ht="18.75" hidden="1" x14ac:dyDescent="0.25">
      <c r="A169" s="631"/>
      <c r="B169" s="629"/>
      <c r="C169" s="629"/>
      <c r="D169" s="630" t="s">
        <v>65</v>
      </c>
      <c r="E169" s="629"/>
      <c r="F169" s="629"/>
      <c r="G169" s="628"/>
      <c r="H169" s="627" t="s">
        <v>33</v>
      </c>
      <c r="I169" s="583">
        <f ca="1">I167</f>
        <v>10</v>
      </c>
      <c r="J169" s="626">
        <v>0</v>
      </c>
      <c r="K169" s="625">
        <f ca="1">IF(I169&gt;0,J169*100/I169,0)</f>
        <v>0</v>
      </c>
      <c r="L169" s="624"/>
      <c r="M169" s="624"/>
      <c r="N169" s="624"/>
      <c r="O169" s="624"/>
      <c r="P169" s="624"/>
    </row>
    <row r="170" spans="1:16" ht="19.5" x14ac:dyDescent="0.3">
      <c r="A170" s="257" t="s">
        <v>66</v>
      </c>
      <c r="B170" s="258"/>
      <c r="C170" s="258"/>
      <c r="D170" s="258"/>
      <c r="E170" s="259"/>
      <c r="F170" s="259"/>
      <c r="G170" s="259"/>
      <c r="H170" s="259"/>
      <c r="I170" s="260"/>
      <c r="J170" s="260"/>
      <c r="K170" s="261"/>
      <c r="L170" s="261"/>
      <c r="M170" s="261"/>
      <c r="N170" s="261"/>
      <c r="O170" s="261"/>
      <c r="P170" s="262"/>
    </row>
    <row r="171" spans="1:16" ht="19.5" x14ac:dyDescent="0.3">
      <c r="A171" s="263" t="s">
        <v>67</v>
      </c>
      <c r="B171" s="264"/>
      <c r="C171" s="264"/>
      <c r="D171" s="265"/>
      <c r="E171" s="265"/>
      <c r="F171" s="265"/>
      <c r="G171" s="266"/>
      <c r="H171" s="266"/>
      <c r="I171" s="267"/>
      <c r="J171" s="267"/>
      <c r="K171" s="268"/>
      <c r="L171" s="268"/>
      <c r="M171" s="268"/>
      <c r="N171" s="268"/>
      <c r="O171" s="268"/>
      <c r="P171" s="268"/>
    </row>
    <row r="172" spans="1:16" ht="19.5" x14ac:dyDescent="0.3">
      <c r="A172" s="269"/>
      <c r="B172" s="406" t="s">
        <v>68</v>
      </c>
      <c r="C172" s="271"/>
      <c r="D172" s="170"/>
      <c r="E172" s="170"/>
      <c r="F172" s="170"/>
      <c r="G172" s="171"/>
      <c r="H172" s="272" t="s">
        <v>33</v>
      </c>
      <c r="I172" s="335">
        <f ca="1">I183+I184</f>
        <v>7</v>
      </c>
      <c r="J172" s="335">
        <f>J183+J184</f>
        <v>0</v>
      </c>
      <c r="K172" s="274">
        <f ca="1">IF(I172&gt;0,J172*100/I172,0)</f>
        <v>0</v>
      </c>
      <c r="L172" s="275"/>
      <c r="M172" s="275"/>
      <c r="N172" s="275"/>
      <c r="O172" s="275"/>
      <c r="P172" s="275"/>
    </row>
    <row r="173" spans="1:16" ht="19.5" x14ac:dyDescent="0.3">
      <c r="A173" s="157"/>
      <c r="B173" s="53"/>
      <c r="C173" s="158" t="s">
        <v>16</v>
      </c>
      <c r="D173" s="574" t="s">
        <v>17</v>
      </c>
      <c r="E173" s="53"/>
      <c r="F173" s="53"/>
      <c r="G173" s="55"/>
      <c r="H173" s="160" t="s">
        <v>12</v>
      </c>
      <c r="I173" s="57"/>
      <c r="J173" s="57"/>
      <c r="K173" s="58"/>
      <c r="L173" s="161">
        <f ca="1">L174+L175</f>
        <v>19590</v>
      </c>
      <c r="M173" s="161">
        <f ca="1">M174+M175</f>
        <v>19590</v>
      </c>
      <c r="N173" s="161">
        <f ca="1">N174+N175</f>
        <v>0</v>
      </c>
      <c r="O173" s="161">
        <f ca="1">IF(L173&gt;0,N173*100/L173,0)</f>
        <v>0</v>
      </c>
      <c r="P173" s="161">
        <f ca="1">IF(M173&gt;0,N173*100/M173,0)</f>
        <v>0</v>
      </c>
    </row>
    <row r="174" spans="1:16" ht="18.75" hidden="1" x14ac:dyDescent="0.25">
      <c r="A174" s="541"/>
      <c r="B174" s="526"/>
      <c r="C174" s="526"/>
      <c r="D174" s="526"/>
      <c r="E174" s="540" t="s">
        <v>18</v>
      </c>
      <c r="F174" s="526"/>
      <c r="G174" s="525"/>
      <c r="H174" s="544" t="s">
        <v>12</v>
      </c>
      <c r="I174" s="199"/>
      <c r="J174" s="199"/>
      <c r="K174" s="521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157"/>
      <c r="B175" s="53"/>
      <c r="C175" s="53"/>
      <c r="D175" s="53"/>
      <c r="E175" s="336" t="s">
        <v>19</v>
      </c>
      <c r="F175" s="53"/>
      <c r="G175" s="55"/>
      <c r="H175" s="162" t="s">
        <v>12</v>
      </c>
      <c r="I175" s="57"/>
      <c r="J175" s="57"/>
      <c r="K175" s="58"/>
      <c r="L175" s="61">
        <f ca="1">L178+L181</f>
        <v>19590</v>
      </c>
      <c r="M175" s="61">
        <f ca="1">M178+M181</f>
        <v>19590</v>
      </c>
      <c r="N175" s="61">
        <f ca="1">N178+N181</f>
        <v>0</v>
      </c>
      <c r="O175" s="61">
        <f ca="1">IF(L175&gt;0,N175*100/L175,0)</f>
        <v>0</v>
      </c>
      <c r="P175" s="61">
        <f ca="1">IF(M175&gt;0,N175*100/M175,0)</f>
        <v>0</v>
      </c>
    </row>
    <row r="176" spans="1:16" ht="18.75" x14ac:dyDescent="0.25">
      <c r="A176" s="157"/>
      <c r="B176" s="53"/>
      <c r="C176" s="53"/>
      <c r="D176" s="573" t="s">
        <v>20</v>
      </c>
      <c r="E176" s="53"/>
      <c r="F176" s="53"/>
      <c r="G176" s="55"/>
      <c r="H176" s="163" t="s">
        <v>12</v>
      </c>
      <c r="I176" s="164"/>
      <c r="J176" s="164"/>
      <c r="K176" s="165"/>
      <c r="L176" s="61">
        <f ca="1">L177+L178</f>
        <v>19590</v>
      </c>
      <c r="M176" s="61">
        <f ca="1">M177+M178</f>
        <v>19590</v>
      </c>
      <c r="N176" s="61">
        <f ca="1">N177+N178</f>
        <v>0</v>
      </c>
      <c r="O176" s="61">
        <f ca="1">IF(L176&gt;0,N176*100/L176,0)</f>
        <v>0</v>
      </c>
      <c r="P176" s="61">
        <f ca="1">IF(M176&gt;0,N176*100/M176,0)</f>
        <v>0</v>
      </c>
    </row>
    <row r="177" spans="1:16" ht="18.75" hidden="1" x14ac:dyDescent="0.25">
      <c r="A177" s="541"/>
      <c r="B177" s="526"/>
      <c r="C177" s="526"/>
      <c r="D177" s="526"/>
      <c r="E177" s="540" t="s">
        <v>34</v>
      </c>
      <c r="F177" s="526"/>
      <c r="G177" s="525"/>
      <c r="H177" s="542" t="s">
        <v>12</v>
      </c>
      <c r="I177" s="532"/>
      <c r="J177" s="532"/>
      <c r="K177" s="531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157"/>
      <c r="B178" s="53"/>
      <c r="C178" s="53"/>
      <c r="D178" s="53"/>
      <c r="E178" s="336" t="s">
        <v>35</v>
      </c>
      <c r="F178" s="53"/>
      <c r="G178" s="55"/>
      <c r="H178" s="163" t="s">
        <v>12</v>
      </c>
      <c r="I178" s="164"/>
      <c r="J178" s="164"/>
      <c r="K178" s="165"/>
      <c r="L178" s="61">
        <f ca="1">IFERROR(__xludf.DUMMYFUNCTION("IMPORTRANGE(""https://docs.google.com/spreadsheets/d/1-uDff_7J0KD5mKrp0Vvzr7lt3OU09vwQwhkpOPPYv2Y/edit?usp=sharing"",""งบพรบ!CK53"")"),19590)</f>
        <v>19590</v>
      </c>
      <c r="M178" s="61">
        <f ca="1">IFERROR(__xludf.DUMMYFUNCTION("IMPORTRANGE(""https://docs.google.com/spreadsheets/d/1-uDff_7J0KD5mKrp0Vvzr7lt3OU09vwQwhkpOPPYv2Y/edit?usp=sharing"",""งบพรบ!CP53"")"),19590)</f>
        <v>19590</v>
      </c>
      <c r="N178" s="61">
        <f ca="1">IFERROR(__xludf.DUMMYFUNCTION("IMPORTRANGE(""https://docs.google.com/spreadsheets/d/1-uDff_7J0KD5mKrp0Vvzr7lt3OU09vwQwhkpOPPYv2Y/edit?usp=sharing"",""งบพรบ!CR53"")"),0)</f>
        <v>0</v>
      </c>
      <c r="O178" s="61">
        <f ca="1">IF(L178&gt;0,N178*100/L178,0)</f>
        <v>0</v>
      </c>
      <c r="P178" s="61">
        <f ca="1">IF(M178&gt;0,N178*100/M178,0)</f>
        <v>0</v>
      </c>
    </row>
    <row r="179" spans="1:16" ht="18.75" x14ac:dyDescent="0.25">
      <c r="A179" s="157"/>
      <c r="B179" s="53"/>
      <c r="C179" s="53"/>
      <c r="D179" s="573" t="s">
        <v>21</v>
      </c>
      <c r="E179" s="53"/>
      <c r="F179" s="53"/>
      <c r="G179" s="55"/>
      <c r="H179" s="166" t="s">
        <v>12</v>
      </c>
      <c r="I179" s="164"/>
      <c r="J179" s="164"/>
      <c r="K179" s="165"/>
      <c r="L179" s="61">
        <f ca="1">L180+L181</f>
        <v>0</v>
      </c>
      <c r="M179" s="61">
        <f ca="1">M180+M181</f>
        <v>0</v>
      </c>
      <c r="N179" s="61">
        <f ca="1">N180+N181</f>
        <v>0</v>
      </c>
      <c r="O179" s="61">
        <f ca="1">IF(L179&gt;0,N179*100/L179,0)</f>
        <v>0</v>
      </c>
      <c r="P179" s="61">
        <f ca="1">IF(M179&gt;0,N179*100/M179,0)</f>
        <v>0</v>
      </c>
    </row>
    <row r="180" spans="1:16" ht="18.75" hidden="1" x14ac:dyDescent="0.25">
      <c r="A180" s="541"/>
      <c r="B180" s="526"/>
      <c r="C180" s="526"/>
      <c r="D180" s="526"/>
      <c r="E180" s="540" t="s">
        <v>18</v>
      </c>
      <c r="F180" s="526"/>
      <c r="G180" s="525"/>
      <c r="H180" s="542" t="s">
        <v>12</v>
      </c>
      <c r="I180" s="532"/>
      <c r="J180" s="532"/>
      <c r="K180" s="531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157"/>
      <c r="B181" s="53"/>
      <c r="C181" s="53"/>
      <c r="D181" s="53"/>
      <c r="E181" s="336" t="s">
        <v>19</v>
      </c>
      <c r="F181" s="53"/>
      <c r="G181" s="55"/>
      <c r="H181" s="166" t="s">
        <v>12</v>
      </c>
      <c r="I181" s="164"/>
      <c r="J181" s="164"/>
      <c r="K181" s="165"/>
      <c r="L181" s="61">
        <f ca="1">IFERROR(__xludf.DUMMYFUNCTION("IMPORTRANGE(""https://docs.google.com/spreadsheets/d/1-uDff_7J0KD5mKrp0Vvzr7lt3OU09vwQwhkpOPPYv2Y/edit?usp=sharing"",""งบพรบ!CN53"")"),0)</f>
        <v>0</v>
      </c>
      <c r="M181" s="61">
        <f ca="1">IFERROR(__xludf.DUMMYFUNCTION("IMPORTRANGE(""https://docs.google.com/spreadsheets/d/1-uDff_7J0KD5mKrp0Vvzr7lt3OU09vwQwhkpOPPYv2Y/edit?usp=sharing"",""งบพรบ!CQ53"")"),0)</f>
        <v>0</v>
      </c>
      <c r="N181" s="61">
        <f ca="1">IFERROR(__xludf.DUMMYFUNCTION("IMPORTRANGE(""https://docs.google.com/spreadsheets/d/1-uDff_7J0KD5mKrp0Vvzr7lt3OU09vwQwhkpOPPYv2Y/edit?usp=sharing"",""งบพรบ!CS53"")"),0)</f>
        <v>0</v>
      </c>
      <c r="O181" s="61">
        <f ca="1">IF(L181&gt;0,N181*100/L181,0)</f>
        <v>0</v>
      </c>
      <c r="P181" s="61">
        <f ca="1">IF(M181&gt;0,N181*100/M181,0)</f>
        <v>0</v>
      </c>
    </row>
    <row r="182" spans="1:16" ht="19.5" x14ac:dyDescent="0.3">
      <c r="A182" s="167"/>
      <c r="B182" s="168"/>
      <c r="C182" s="158" t="s">
        <v>16</v>
      </c>
      <c r="D182" s="571" t="s">
        <v>36</v>
      </c>
      <c r="E182" s="170"/>
      <c r="F182" s="170"/>
      <c r="G182" s="171"/>
      <c r="H182" s="227"/>
      <c r="I182" s="57"/>
      <c r="J182" s="57"/>
      <c r="K182" s="58"/>
      <c r="L182" s="58"/>
      <c r="M182" s="58"/>
      <c r="N182" s="58"/>
      <c r="O182" s="58"/>
      <c r="P182" s="58"/>
    </row>
    <row r="183" spans="1:16" ht="18.75" x14ac:dyDescent="0.25">
      <c r="A183" s="276"/>
      <c r="B183" s="53"/>
      <c r="C183" s="278"/>
      <c r="D183" s="278" t="s">
        <v>69</v>
      </c>
      <c r="E183" s="53"/>
      <c r="F183" s="53"/>
      <c r="G183" s="55"/>
      <c r="H183" s="279" t="s">
        <v>33</v>
      </c>
      <c r="I183" s="196">
        <f ca="1">IFERROR(__xludf.DUMMYFUNCTION("IMPORTRANGE(""https://docs.google.com/spreadsheets/d/1eHaY18a8A9IcSdp1K8H6x8fbOy06t2VsZHhMHf-1x7Y/edit?usp=sharing"",""แผน!AA53"")"),7)</f>
        <v>7</v>
      </c>
      <c r="J183" s="578">
        <v>0</v>
      </c>
      <c r="K183" s="61">
        <f ca="1">IF(I183&gt;0,J183*100/I183,0)</f>
        <v>0</v>
      </c>
      <c r="L183" s="58"/>
      <c r="M183" s="58"/>
      <c r="N183" s="58"/>
      <c r="O183" s="58"/>
      <c r="P183" s="58"/>
    </row>
    <row r="184" spans="1:16" ht="18.75" hidden="1" x14ac:dyDescent="0.25">
      <c r="A184" s="530"/>
      <c r="B184" s="529"/>
      <c r="C184" s="623"/>
      <c r="D184" s="623" t="s">
        <v>70</v>
      </c>
      <c r="E184" s="526"/>
      <c r="F184" s="526"/>
      <c r="G184" s="525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521"/>
      <c r="M184" s="521"/>
      <c r="N184" s="521"/>
      <c r="O184" s="521"/>
      <c r="P184" s="521"/>
    </row>
    <row r="185" spans="1:16" ht="19.5" x14ac:dyDescent="0.3">
      <c r="A185" s="269"/>
      <c r="B185" s="406" t="s">
        <v>71</v>
      </c>
      <c r="C185" s="271"/>
      <c r="D185" s="170"/>
      <c r="E185" s="170"/>
      <c r="F185" s="170"/>
      <c r="G185" s="171"/>
      <c r="H185" s="272" t="s">
        <v>33</v>
      </c>
      <c r="I185" s="335">
        <f ca="1">I230+I231</f>
        <v>30</v>
      </c>
      <c r="J185" s="335">
        <f>J230+J231</f>
        <v>30</v>
      </c>
      <c r="K185" s="274">
        <f ca="1">IF(I185&gt;0,J185*100/I185,0)</f>
        <v>100</v>
      </c>
      <c r="L185" s="275"/>
      <c r="M185" s="275"/>
      <c r="N185" s="275"/>
      <c r="O185" s="275"/>
      <c r="P185" s="275"/>
    </row>
    <row r="186" spans="1:16" ht="19.5" x14ac:dyDescent="0.3">
      <c r="A186" s="157"/>
      <c r="B186" s="53"/>
      <c r="C186" s="158" t="s">
        <v>16</v>
      </c>
      <c r="D186" s="574" t="s">
        <v>17</v>
      </c>
      <c r="E186" s="53"/>
      <c r="F186" s="53"/>
      <c r="G186" s="55"/>
      <c r="H186" s="160" t="s">
        <v>12</v>
      </c>
      <c r="I186" s="57"/>
      <c r="J186" s="57"/>
      <c r="K186" s="58"/>
      <c r="L186" s="161">
        <f ca="1">L187+L188</f>
        <v>199100</v>
      </c>
      <c r="M186" s="161">
        <f ca="1">M187+M188</f>
        <v>172100</v>
      </c>
      <c r="N186" s="161">
        <f ca="1">N187+N188</f>
        <v>95965</v>
      </c>
      <c r="O186" s="161">
        <f ca="1">IF(L186&gt;0,N186*100/L186,0)</f>
        <v>48.19939728779508</v>
      </c>
      <c r="P186" s="161">
        <f ca="1">IF(M186&gt;0,N186*100/M186,0)</f>
        <v>55.761185357350378</v>
      </c>
    </row>
    <row r="187" spans="1:16" ht="18.75" hidden="1" x14ac:dyDescent="0.25">
      <c r="A187" s="541"/>
      <c r="B187" s="526"/>
      <c r="C187" s="526"/>
      <c r="D187" s="526"/>
      <c r="E187" s="540" t="s">
        <v>18</v>
      </c>
      <c r="F187" s="526"/>
      <c r="G187" s="525"/>
      <c r="H187" s="544" t="s">
        <v>12</v>
      </c>
      <c r="I187" s="199"/>
      <c r="J187" s="199"/>
      <c r="K187" s="521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157"/>
      <c r="B188" s="53"/>
      <c r="C188" s="53"/>
      <c r="D188" s="53"/>
      <c r="E188" s="336" t="s">
        <v>19</v>
      </c>
      <c r="F188" s="53"/>
      <c r="G188" s="55"/>
      <c r="H188" s="162" t="s">
        <v>12</v>
      </c>
      <c r="I188" s="57"/>
      <c r="J188" s="57"/>
      <c r="K188" s="58"/>
      <c r="L188" s="61">
        <f ca="1">L191+L194</f>
        <v>199100</v>
      </c>
      <c r="M188" s="61">
        <f ca="1">M191+M194</f>
        <v>172100</v>
      </c>
      <c r="N188" s="61">
        <f ca="1">N191+N194</f>
        <v>95965</v>
      </c>
      <c r="O188" s="61">
        <f ca="1">IF(L188&gt;0,N188*100/L188,0)</f>
        <v>48.19939728779508</v>
      </c>
      <c r="P188" s="61">
        <f ca="1">IF(M188&gt;0,N188*100/M188,0)</f>
        <v>55.761185357350378</v>
      </c>
    </row>
    <row r="189" spans="1:16" ht="18.75" x14ac:dyDescent="0.25">
      <c r="A189" s="157"/>
      <c r="B189" s="53"/>
      <c r="C189" s="53"/>
      <c r="D189" s="573" t="s">
        <v>20</v>
      </c>
      <c r="E189" s="53"/>
      <c r="F189" s="53"/>
      <c r="G189" s="55"/>
      <c r="H189" s="163" t="s">
        <v>12</v>
      </c>
      <c r="I189" s="164"/>
      <c r="J189" s="164"/>
      <c r="K189" s="165"/>
      <c r="L189" s="61">
        <f ca="1">L190+L191</f>
        <v>199100</v>
      </c>
      <c r="M189" s="61">
        <f ca="1">M190+M191</f>
        <v>172100</v>
      </c>
      <c r="N189" s="61">
        <f ca="1">N190+N191</f>
        <v>95965</v>
      </c>
      <c r="O189" s="61">
        <f ca="1">IF(L189&gt;0,N189*100/L189,0)</f>
        <v>48.19939728779508</v>
      </c>
      <c r="P189" s="61">
        <f ca="1">IF(M189&gt;0,N189*100/M189,0)</f>
        <v>55.761185357350378</v>
      </c>
    </row>
    <row r="190" spans="1:16" ht="18.75" hidden="1" x14ac:dyDescent="0.25">
      <c r="A190" s="541"/>
      <c r="B190" s="526"/>
      <c r="C190" s="526"/>
      <c r="D190" s="526"/>
      <c r="E190" s="540" t="s">
        <v>34</v>
      </c>
      <c r="F190" s="526"/>
      <c r="G190" s="525"/>
      <c r="H190" s="542" t="s">
        <v>12</v>
      </c>
      <c r="I190" s="532"/>
      <c r="J190" s="532"/>
      <c r="K190" s="531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157"/>
      <c r="B191" s="53"/>
      <c r="C191" s="53"/>
      <c r="D191" s="53"/>
      <c r="E191" s="336" t="s">
        <v>35</v>
      </c>
      <c r="F191" s="53"/>
      <c r="G191" s="55"/>
      <c r="H191" s="163" t="s">
        <v>12</v>
      </c>
      <c r="I191" s="164"/>
      <c r="J191" s="164"/>
      <c r="K191" s="165"/>
      <c r="L191" s="61">
        <f ca="1">IFERROR(__xludf.DUMMYFUNCTION("IMPORTRANGE(""https://docs.google.com/spreadsheets/d/1-uDff_7J0KD5mKrp0Vvzr7lt3OU09vwQwhkpOPPYv2Y/edit?usp=sharing"",""งบพรบ!CU53"")"),199100)</f>
        <v>199100</v>
      </c>
      <c r="M191" s="61">
        <f ca="1">IFERROR(__xludf.DUMMYFUNCTION("IMPORTRANGE(""https://docs.google.com/spreadsheets/d/1-uDff_7J0KD5mKrp0Vvzr7lt3OU09vwQwhkpOPPYv2Y/edit?usp=sharing"",""งบพรบ!CZ53"")"),172100)</f>
        <v>172100</v>
      </c>
      <c r="N191" s="61">
        <f ca="1">IFERROR(__xludf.DUMMYFUNCTION("IMPORTRANGE(""https://docs.google.com/spreadsheets/d/1-uDff_7J0KD5mKrp0Vvzr7lt3OU09vwQwhkpOPPYv2Y/edit?usp=sharing"",""งบพรบ!DB53"")"),95965)</f>
        <v>95965</v>
      </c>
      <c r="O191" s="61">
        <f ca="1">IF(L191&gt;0,N191*100/L191,0)</f>
        <v>48.19939728779508</v>
      </c>
      <c r="P191" s="61">
        <f ca="1">IF(M191&gt;0,N191*100/M191,0)</f>
        <v>55.761185357350378</v>
      </c>
    </row>
    <row r="192" spans="1:16" ht="18.75" x14ac:dyDescent="0.25">
      <c r="A192" s="157"/>
      <c r="B192" s="53"/>
      <c r="C192" s="53"/>
      <c r="D192" s="573" t="s">
        <v>21</v>
      </c>
      <c r="E192" s="53"/>
      <c r="F192" s="53"/>
      <c r="G192" s="55"/>
      <c r="H192" s="166" t="s">
        <v>12</v>
      </c>
      <c r="I192" s="164"/>
      <c r="J192" s="164"/>
      <c r="K192" s="165"/>
      <c r="L192" s="61">
        <f ca="1">L193+L194</f>
        <v>0</v>
      </c>
      <c r="M192" s="61">
        <f ca="1">M193+M194</f>
        <v>0</v>
      </c>
      <c r="N192" s="61">
        <f ca="1">N193+N194</f>
        <v>0</v>
      </c>
      <c r="O192" s="61">
        <f ca="1">IF(L192&gt;0,N192*100/L192,0)</f>
        <v>0</v>
      </c>
      <c r="P192" s="61">
        <f ca="1">IF(M192&gt;0,N192*100/M192,0)</f>
        <v>0</v>
      </c>
    </row>
    <row r="193" spans="1:16" ht="18.75" hidden="1" x14ac:dyDescent="0.25">
      <c r="A193" s="541"/>
      <c r="B193" s="526"/>
      <c r="C193" s="526"/>
      <c r="D193" s="526"/>
      <c r="E193" s="540" t="s">
        <v>18</v>
      </c>
      <c r="F193" s="526"/>
      <c r="G193" s="525"/>
      <c r="H193" s="542" t="s">
        <v>12</v>
      </c>
      <c r="I193" s="532"/>
      <c r="J193" s="532"/>
      <c r="K193" s="531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157"/>
      <c r="B194" s="53"/>
      <c r="C194" s="53"/>
      <c r="D194" s="53"/>
      <c r="E194" s="336" t="s">
        <v>19</v>
      </c>
      <c r="F194" s="53"/>
      <c r="G194" s="55"/>
      <c r="H194" s="166" t="s">
        <v>12</v>
      </c>
      <c r="I194" s="164"/>
      <c r="J194" s="164"/>
      <c r="K194" s="165"/>
      <c r="L194" s="61">
        <f ca="1">IFERROR(__xludf.DUMMYFUNCTION("IMPORTRANGE(""https://docs.google.com/spreadsheets/d/1-uDff_7J0KD5mKrp0Vvzr7lt3OU09vwQwhkpOPPYv2Y/edit?usp=sharing"",""งบพรบ!CX53"")"),0)</f>
        <v>0</v>
      </c>
      <c r="M194" s="61">
        <f ca="1">IFERROR(__xludf.DUMMYFUNCTION("IMPORTRANGE(""https://docs.google.com/spreadsheets/d/1-uDff_7J0KD5mKrp0Vvzr7lt3OU09vwQwhkpOPPYv2Y/edit?usp=sharing"",""งบพรบ!DA53"")"),0)</f>
        <v>0</v>
      </c>
      <c r="N194" s="61">
        <f ca="1">IFERROR(__xludf.DUMMYFUNCTION("IMPORTRANGE(""https://docs.google.com/spreadsheets/d/1-uDff_7J0KD5mKrp0Vvzr7lt3OU09vwQwhkpOPPYv2Y/edit?usp=sharing"",""งบพรบ!DC53"")"),0)</f>
        <v>0</v>
      </c>
      <c r="O194" s="61">
        <f ca="1">IF(L194&gt;0,N194*100/L194,0)</f>
        <v>0</v>
      </c>
      <c r="P194" s="61">
        <f ca="1">IF(M194&gt;0,N194*100/M194,0)</f>
        <v>0</v>
      </c>
    </row>
    <row r="195" spans="1:16" ht="19.5" x14ac:dyDescent="0.3">
      <c r="A195" s="281"/>
      <c r="B195" s="282"/>
      <c r="C195" s="283" t="s">
        <v>72</v>
      </c>
      <c r="D195" s="284"/>
      <c r="E195" s="284"/>
      <c r="F195" s="284"/>
      <c r="G195" s="285"/>
      <c r="H195" s="286" t="s">
        <v>73</v>
      </c>
      <c r="I195" s="287">
        <f ca="1">I198</f>
        <v>4</v>
      </c>
      <c r="J195" s="287">
        <f>J198</f>
        <v>1</v>
      </c>
      <c r="K195" s="288">
        <f ca="1">IF(I195&gt;0,J195*100/I195,0)</f>
        <v>25</v>
      </c>
      <c r="L195" s="289"/>
      <c r="M195" s="289"/>
      <c r="N195" s="289"/>
      <c r="O195" s="289"/>
      <c r="P195" s="289"/>
    </row>
    <row r="196" spans="1:16" ht="19.5" x14ac:dyDescent="0.3">
      <c r="A196" s="157"/>
      <c r="B196" s="53"/>
      <c r="C196" s="158" t="s">
        <v>16</v>
      </c>
      <c r="D196" s="621" t="s">
        <v>17</v>
      </c>
      <c r="E196" s="53"/>
      <c r="F196" s="53"/>
      <c r="G196" s="55"/>
      <c r="H196" s="291" t="s">
        <v>12</v>
      </c>
      <c r="I196" s="57"/>
      <c r="J196" s="57"/>
      <c r="K196" s="58"/>
      <c r="L196" s="161">
        <f ca="1">IFERROR(__xludf.DUMMYFUNCTION("IMPORTRANGE(""https://docs.google.com/spreadsheets/d/1eHaY18a8A9IcSdp1K8H6x8fbOy06t2VsZHhMHf-1x7Y/edit?usp=sharing"",""แผน!AB53"")"),6000)</f>
        <v>6000</v>
      </c>
      <c r="M196" s="58"/>
      <c r="N196" s="622">
        <v>2660</v>
      </c>
      <c r="O196" s="161">
        <f ca="1">IF(L196&gt;0,N196*100/L196,0)</f>
        <v>44.333333333333336</v>
      </c>
      <c r="P196" s="161">
        <f>IF(M196&gt;0,N196*100/M196,0)</f>
        <v>0</v>
      </c>
    </row>
    <row r="197" spans="1:16" ht="19.5" x14ac:dyDescent="0.3">
      <c r="A197" s="167"/>
      <c r="B197" s="168"/>
      <c r="C197" s="158" t="s">
        <v>16</v>
      </c>
      <c r="D197" s="571" t="s">
        <v>36</v>
      </c>
      <c r="E197" s="170"/>
      <c r="F197" s="170"/>
      <c r="G197" s="171"/>
      <c r="H197" s="172"/>
      <c r="I197" s="57"/>
      <c r="J197" s="57"/>
      <c r="K197" s="58"/>
      <c r="L197" s="58"/>
      <c r="M197" s="58"/>
      <c r="N197" s="58"/>
      <c r="O197" s="58"/>
      <c r="P197" s="58"/>
    </row>
    <row r="198" spans="1:16" ht="18.75" x14ac:dyDescent="0.25">
      <c r="A198" s="167"/>
      <c r="B198" s="168"/>
      <c r="C198" s="168"/>
      <c r="D198" s="195" t="s">
        <v>74</v>
      </c>
      <c r="E198" s="174"/>
      <c r="F198" s="174"/>
      <c r="G198" s="172"/>
      <c r="H198" s="297" t="s">
        <v>73</v>
      </c>
      <c r="I198" s="196">
        <f ca="1">IFERROR(__xludf.DUMMYFUNCTION("IMPORTRANGE(""https://docs.google.com/spreadsheets/d/1eHaY18a8A9IcSdp1K8H6x8fbOy06t2VsZHhMHf-1x7Y/edit?usp=sharing"",""แผน!AE53"")"),4)</f>
        <v>4</v>
      </c>
      <c r="J198" s="578">
        <v>1</v>
      </c>
      <c r="K198" s="61">
        <f ca="1">IF(I198&gt;0,J198*100/I198,0)</f>
        <v>25</v>
      </c>
      <c r="L198" s="58"/>
      <c r="M198" s="58"/>
      <c r="N198" s="58"/>
      <c r="O198" s="58"/>
      <c r="P198" s="58"/>
    </row>
    <row r="199" spans="1:16" ht="18.75" x14ac:dyDescent="0.25">
      <c r="A199" s="167"/>
      <c r="B199" s="168"/>
      <c r="C199" s="168"/>
      <c r="D199" s="195" t="s">
        <v>75</v>
      </c>
      <c r="E199" s="174"/>
      <c r="F199" s="174"/>
      <c r="G199" s="172"/>
      <c r="H199" s="279" t="s">
        <v>33</v>
      </c>
      <c r="I199" s="57"/>
      <c r="J199" s="196">
        <f>J200+J201</f>
        <v>47</v>
      </c>
      <c r="K199" s="58"/>
      <c r="L199" s="58"/>
      <c r="M199" s="58"/>
      <c r="N199" s="58"/>
      <c r="O199" s="58"/>
      <c r="P199" s="58"/>
    </row>
    <row r="200" spans="1:16" ht="18.75" x14ac:dyDescent="0.25">
      <c r="A200" s="167"/>
      <c r="B200" s="168"/>
      <c r="C200" s="168"/>
      <c r="D200" s="168"/>
      <c r="E200" s="195" t="s">
        <v>76</v>
      </c>
      <c r="F200" s="174"/>
      <c r="G200" s="172"/>
      <c r="H200" s="279" t="s">
        <v>33</v>
      </c>
      <c r="I200" s="57"/>
      <c r="J200" s="578">
        <v>47</v>
      </c>
      <c r="K200" s="58"/>
      <c r="L200" s="58"/>
      <c r="M200" s="58"/>
      <c r="N200" s="58"/>
      <c r="O200" s="58"/>
      <c r="P200" s="58"/>
    </row>
    <row r="201" spans="1:16" ht="18.75" x14ac:dyDescent="0.25">
      <c r="A201" s="167"/>
      <c r="B201" s="168"/>
      <c r="C201" s="168"/>
      <c r="D201" s="168"/>
      <c r="E201" s="195" t="s">
        <v>77</v>
      </c>
      <c r="F201" s="174"/>
      <c r="G201" s="172"/>
      <c r="H201" s="279" t="s">
        <v>33</v>
      </c>
      <c r="I201" s="57"/>
      <c r="J201" s="578">
        <v>0</v>
      </c>
      <c r="K201" s="58"/>
      <c r="L201" s="58"/>
      <c r="M201" s="58"/>
      <c r="N201" s="58"/>
      <c r="O201" s="58"/>
      <c r="P201" s="58"/>
    </row>
    <row r="202" spans="1:16" ht="19.5" x14ac:dyDescent="0.3">
      <c r="A202" s="281"/>
      <c r="B202" s="282"/>
      <c r="C202" s="283" t="s">
        <v>78</v>
      </c>
      <c r="D202" s="284"/>
      <c r="E202" s="284"/>
      <c r="F202" s="284"/>
      <c r="G202" s="285"/>
      <c r="H202" s="445" t="s">
        <v>79</v>
      </c>
      <c r="I202" s="287">
        <f ca="1">I209</f>
        <v>1</v>
      </c>
      <c r="J202" s="287">
        <f>J209</f>
        <v>0</v>
      </c>
      <c r="K202" s="288">
        <f ca="1">IF(I202&gt;0,J202*100/I202,0)</f>
        <v>0</v>
      </c>
      <c r="L202" s="289"/>
      <c r="M202" s="289"/>
      <c r="N202" s="289"/>
      <c r="O202" s="289"/>
      <c r="P202" s="289"/>
    </row>
    <row r="203" spans="1:16" ht="19.5" x14ac:dyDescent="0.3">
      <c r="A203" s="157"/>
      <c r="B203" s="53"/>
      <c r="C203" s="158" t="s">
        <v>16</v>
      </c>
      <c r="D203" s="621" t="s">
        <v>17</v>
      </c>
      <c r="E203" s="53"/>
      <c r="F203" s="53"/>
      <c r="G203" s="55"/>
      <c r="H203" s="291" t="s">
        <v>12</v>
      </c>
      <c r="I203" s="164"/>
      <c r="J203" s="164"/>
      <c r="K203" s="165"/>
      <c r="L203" s="161">
        <f ca="1">L204+L205+L206+L207</f>
        <v>13000</v>
      </c>
      <c r="M203" s="58"/>
      <c r="N203" s="161">
        <f>N204+N205+N206+N207</f>
        <v>0</v>
      </c>
      <c r="O203" s="161">
        <f ca="1">IF(L203&gt;0,N203*100/L203,0)</f>
        <v>0</v>
      </c>
      <c r="P203" s="161">
        <f>IF(M203&gt;0,N203*100/M203,0)</f>
        <v>0</v>
      </c>
    </row>
    <row r="204" spans="1:16" ht="18.75" x14ac:dyDescent="0.25">
      <c r="A204" s="157"/>
      <c r="B204" s="280"/>
      <c r="C204" s="53"/>
      <c r="D204" s="294" t="s">
        <v>152</v>
      </c>
      <c r="E204" s="53"/>
      <c r="F204" s="53"/>
      <c r="G204" s="55"/>
      <c r="H204" s="163" t="s">
        <v>12</v>
      </c>
      <c r="I204" s="164"/>
      <c r="J204" s="164"/>
      <c r="K204" s="165"/>
      <c r="L204" s="61">
        <f ca="1">IFERROR(__xludf.DUMMYFUNCTION("IMPORTRANGE(""https://docs.google.com/spreadsheets/d/1eHaY18a8A9IcSdp1K8H6x8fbOy06t2VsZHhMHf-1x7Y/edit?usp=sharing"",""แผน!AG53"")"),1000)</f>
        <v>1000</v>
      </c>
      <c r="M204" s="58"/>
      <c r="N204" s="620">
        <v>0</v>
      </c>
      <c r="O204" s="183"/>
      <c r="P204" s="58"/>
    </row>
    <row r="205" spans="1:16" ht="18.75" x14ac:dyDescent="0.25">
      <c r="A205" s="276"/>
      <c r="B205" s="280"/>
      <c r="C205" s="53"/>
      <c r="D205" s="295" t="s">
        <v>81</v>
      </c>
      <c r="E205" s="53"/>
      <c r="F205" s="53"/>
      <c r="G205" s="55"/>
      <c r="H205" s="56" t="s">
        <v>12</v>
      </c>
      <c r="I205" s="57"/>
      <c r="J205" s="57"/>
      <c r="K205" s="58"/>
      <c r="L205" s="61">
        <f ca="1">IFERROR(__xludf.DUMMYFUNCTION("IMPORTRANGE(""https://docs.google.com/spreadsheets/d/1eHaY18a8A9IcSdp1K8H6x8fbOy06t2VsZHhMHf-1x7Y/edit?usp=sharing"",""แผน!AH53"")"),0)</f>
        <v>0</v>
      </c>
      <c r="M205" s="58"/>
      <c r="N205" s="620">
        <v>0</v>
      </c>
      <c r="O205" s="183"/>
      <c r="P205" s="58"/>
    </row>
    <row r="206" spans="1:16" ht="18.75" x14ac:dyDescent="0.25">
      <c r="A206" s="276"/>
      <c r="B206" s="280"/>
      <c r="C206" s="53"/>
      <c r="D206" s="295" t="s">
        <v>82</v>
      </c>
      <c r="E206" s="53"/>
      <c r="F206" s="53"/>
      <c r="G206" s="55"/>
      <c r="H206" s="56" t="s">
        <v>12</v>
      </c>
      <c r="I206" s="57"/>
      <c r="J206" s="57"/>
      <c r="K206" s="58"/>
      <c r="L206" s="61">
        <f ca="1">IFERROR(__xludf.DUMMYFUNCTION("IMPORTRANGE(""https://docs.google.com/spreadsheets/d/1eHaY18a8A9IcSdp1K8H6x8fbOy06t2VsZHhMHf-1x7Y/edit?usp=sharing"",""แผน!AI53"")"),8000)</f>
        <v>8000</v>
      </c>
      <c r="M206" s="58"/>
      <c r="N206" s="620">
        <v>0</v>
      </c>
      <c r="O206" s="183"/>
      <c r="P206" s="58"/>
    </row>
    <row r="207" spans="1:16" ht="18.75" x14ac:dyDescent="0.25">
      <c r="A207" s="276"/>
      <c r="B207" s="280"/>
      <c r="C207" s="53"/>
      <c r="D207" s="295" t="s">
        <v>83</v>
      </c>
      <c r="E207" s="53"/>
      <c r="F207" s="53"/>
      <c r="G207" s="55"/>
      <c r="H207" s="56" t="s">
        <v>12</v>
      </c>
      <c r="I207" s="57"/>
      <c r="J207" s="57"/>
      <c r="K207" s="58"/>
      <c r="L207" s="61">
        <f ca="1">IFERROR(__xludf.DUMMYFUNCTION("IMPORTRANGE(""https://docs.google.com/spreadsheets/d/1eHaY18a8A9IcSdp1K8H6x8fbOy06t2VsZHhMHf-1x7Y/edit?usp=sharing"",""แผน!AJ53"")"),4000)</f>
        <v>4000</v>
      </c>
      <c r="M207" s="58"/>
      <c r="N207" s="620">
        <v>0</v>
      </c>
      <c r="O207" s="183"/>
      <c r="P207" s="58"/>
    </row>
    <row r="208" spans="1:16" ht="19.5" x14ac:dyDescent="0.3">
      <c r="A208" s="167"/>
      <c r="B208" s="168"/>
      <c r="C208" s="158" t="s">
        <v>16</v>
      </c>
      <c r="D208" s="571" t="s">
        <v>36</v>
      </c>
      <c r="E208" s="170"/>
      <c r="F208" s="170"/>
      <c r="G208" s="171"/>
      <c r="H208" s="172"/>
      <c r="I208" s="164"/>
      <c r="J208" s="164"/>
      <c r="K208" s="165"/>
      <c r="L208" s="165"/>
      <c r="M208" s="165"/>
      <c r="N208" s="165"/>
      <c r="O208" s="165"/>
      <c r="P208" s="165"/>
    </row>
    <row r="209" spans="1:16" ht="18.75" x14ac:dyDescent="0.25">
      <c r="A209" s="167"/>
      <c r="B209" s="168"/>
      <c r="C209" s="168"/>
      <c r="D209" s="449" t="s">
        <v>84</v>
      </c>
      <c r="E209" s="174"/>
      <c r="F209" s="174"/>
      <c r="G209" s="172"/>
      <c r="H209" s="296" t="s">
        <v>79</v>
      </c>
      <c r="I209" s="196">
        <f ca="1">IFERROR(__xludf.DUMMYFUNCTION("IMPORTRANGE(""https://docs.google.com/spreadsheets/d/1eHaY18a8A9IcSdp1K8H6x8fbOy06t2VsZHhMHf-1x7Y/edit?usp=sharing"",""แผน!AK53"")"),1)</f>
        <v>1</v>
      </c>
      <c r="J209" s="578">
        <v>0</v>
      </c>
      <c r="K209" s="183">
        <f ca="1">IF(I209&gt;0,J209*100/I209,0)</f>
        <v>0</v>
      </c>
      <c r="L209" s="58"/>
      <c r="M209" s="58"/>
      <c r="N209" s="58"/>
      <c r="O209" s="58"/>
      <c r="P209" s="58"/>
    </row>
    <row r="210" spans="1:16" ht="18.75" x14ac:dyDescent="0.25">
      <c r="A210" s="167"/>
      <c r="B210" s="168"/>
      <c r="C210" s="168"/>
      <c r="D210" s="195" t="s">
        <v>48</v>
      </c>
      <c r="E210" s="174"/>
      <c r="F210" s="174"/>
      <c r="G210" s="172"/>
      <c r="H210" s="172"/>
      <c r="I210" s="57"/>
      <c r="J210" s="57"/>
      <c r="K210" s="165"/>
      <c r="L210" s="58"/>
      <c r="M210" s="58"/>
      <c r="N210" s="58"/>
      <c r="O210" s="58"/>
      <c r="P210" s="58"/>
    </row>
    <row r="211" spans="1:16" ht="18.75" x14ac:dyDescent="0.25">
      <c r="A211" s="167"/>
      <c r="B211" s="168"/>
      <c r="C211" s="168"/>
      <c r="D211" s="174"/>
      <c r="E211" s="195" t="s">
        <v>85</v>
      </c>
      <c r="F211" s="174"/>
      <c r="G211" s="172"/>
      <c r="H211" s="296" t="s">
        <v>79</v>
      </c>
      <c r="I211" s="196">
        <f ca="1">IFERROR(__xludf.DUMMYFUNCTION("IMPORTRANGE(""https://docs.google.com/spreadsheets/d/1eHaY18a8A9IcSdp1K8H6x8fbOy06t2VsZHhMHf-1x7Y/edit?usp=sharing"",""แผน!JX53"")"),1)</f>
        <v>1</v>
      </c>
      <c r="J211" s="578">
        <v>0</v>
      </c>
      <c r="K211" s="183">
        <f ca="1">IF(I211&gt;0,J211*100/I211,0)</f>
        <v>0</v>
      </c>
      <c r="L211" s="58"/>
      <c r="M211" s="58"/>
      <c r="N211" s="58"/>
      <c r="O211" s="58"/>
      <c r="P211" s="58"/>
    </row>
    <row r="212" spans="1:16" ht="18.75" x14ac:dyDescent="0.25">
      <c r="A212" s="167"/>
      <c r="B212" s="168"/>
      <c r="C212" s="168"/>
      <c r="D212" s="174"/>
      <c r="E212" s="195" t="s">
        <v>86</v>
      </c>
      <c r="F212" s="174"/>
      <c r="G212" s="174"/>
      <c r="H212" s="297" t="s">
        <v>87</v>
      </c>
      <c r="I212" s="196">
        <f ca="1">IFERROR(__xludf.DUMMYFUNCTION("IMPORTRANGE(""https://docs.google.com/spreadsheets/d/1eHaY18a8A9IcSdp1K8H6x8fbOy06t2VsZHhMHf-1x7Y/edit?usp=sharing"",""แผน!JY53"")"),0)</f>
        <v>0</v>
      </c>
      <c r="J212" s="578">
        <v>0</v>
      </c>
      <c r="K212" s="183">
        <f ca="1">IF(I212&gt;0,J212*100/I212,0)</f>
        <v>0</v>
      </c>
      <c r="L212" s="58"/>
      <c r="M212" s="58"/>
      <c r="N212" s="58"/>
      <c r="O212" s="58"/>
      <c r="P212" s="58"/>
    </row>
    <row r="213" spans="1:16" ht="19.5" x14ac:dyDescent="0.3">
      <c r="A213" s="281"/>
      <c r="B213" s="282"/>
      <c r="C213" s="283" t="s">
        <v>88</v>
      </c>
      <c r="D213" s="284"/>
      <c r="E213" s="284"/>
      <c r="F213" s="284"/>
      <c r="G213" s="285"/>
      <c r="H213" s="445" t="s">
        <v>79</v>
      </c>
      <c r="I213" s="287">
        <f ca="1">I220</f>
        <v>3</v>
      </c>
      <c r="J213" s="287">
        <f>J220</f>
        <v>0</v>
      </c>
      <c r="K213" s="288">
        <f ca="1">IF(I213&gt;0,J213*100/I213,0)</f>
        <v>0</v>
      </c>
      <c r="L213" s="289"/>
      <c r="M213" s="289"/>
      <c r="N213" s="289"/>
      <c r="O213" s="289"/>
      <c r="P213" s="289"/>
    </row>
    <row r="214" spans="1:16" ht="19.5" x14ac:dyDescent="0.3">
      <c r="A214" s="157"/>
      <c r="B214" s="53"/>
      <c r="C214" s="158" t="s">
        <v>16</v>
      </c>
      <c r="D214" s="621" t="s">
        <v>17</v>
      </c>
      <c r="E214" s="53"/>
      <c r="F214" s="53"/>
      <c r="G214" s="55"/>
      <c r="H214" s="291" t="s">
        <v>12</v>
      </c>
      <c r="I214" s="164"/>
      <c r="J214" s="164"/>
      <c r="K214" s="165"/>
      <c r="L214" s="161">
        <f ca="1">L215+L216+L217</f>
        <v>42000</v>
      </c>
      <c r="M214" s="58"/>
      <c r="N214" s="161">
        <f>N215+N216+N217</f>
        <v>0</v>
      </c>
      <c r="O214" s="161">
        <f ca="1">IF(L214&gt;0,N214*100/L214,0)</f>
        <v>0</v>
      </c>
      <c r="P214" s="161">
        <f>IF(M214&gt;0,N214*100/M214,0)</f>
        <v>0</v>
      </c>
    </row>
    <row r="215" spans="1:16" ht="18.75" x14ac:dyDescent="0.25">
      <c r="A215" s="157"/>
      <c r="B215" s="280"/>
      <c r="C215" s="53"/>
      <c r="D215" s="336" t="s">
        <v>80</v>
      </c>
      <c r="E215" s="53"/>
      <c r="F215" s="53"/>
      <c r="G215" s="55"/>
      <c r="H215" s="163" t="s">
        <v>12</v>
      </c>
      <c r="I215" s="164"/>
      <c r="J215" s="164"/>
      <c r="K215" s="165"/>
      <c r="L215" s="61">
        <f ca="1">IFERROR(__xludf.DUMMYFUNCTION("IMPORTRANGE(""https://docs.google.com/spreadsheets/d/1eHaY18a8A9IcSdp1K8H6x8fbOy06t2VsZHhMHf-1x7Y/edit?usp=sharing"",""แผน!AM53"")"),3000)</f>
        <v>3000</v>
      </c>
      <c r="M215" s="58"/>
      <c r="N215" s="620">
        <v>0</v>
      </c>
      <c r="O215" s="183"/>
      <c r="P215" s="58"/>
    </row>
    <row r="216" spans="1:16" ht="18.75" x14ac:dyDescent="0.25">
      <c r="A216" s="276"/>
      <c r="B216" s="280"/>
      <c r="C216" s="280"/>
      <c r="D216" s="336" t="s">
        <v>89</v>
      </c>
      <c r="E216" s="53"/>
      <c r="F216" s="53"/>
      <c r="G216" s="55"/>
      <c r="H216" s="163" t="s">
        <v>12</v>
      </c>
      <c r="I216" s="57"/>
      <c r="J216" s="57"/>
      <c r="K216" s="58"/>
      <c r="L216" s="61">
        <f ca="1">IFERROR(__xludf.DUMMYFUNCTION("IMPORTRANGE(""https://docs.google.com/spreadsheets/d/1eHaY18a8A9IcSdp1K8H6x8fbOy06t2VsZHhMHf-1x7Y/edit?usp=sharing"",""แผน!AN53"")"),15000)</f>
        <v>15000</v>
      </c>
      <c r="M216" s="58"/>
      <c r="N216" s="620">
        <v>0</v>
      </c>
      <c r="O216" s="183"/>
      <c r="P216" s="58"/>
    </row>
    <row r="217" spans="1:16" ht="18.75" x14ac:dyDescent="0.25">
      <c r="A217" s="276"/>
      <c r="B217" s="280"/>
      <c r="C217" s="280"/>
      <c r="D217" s="336" t="s">
        <v>82</v>
      </c>
      <c r="E217" s="53"/>
      <c r="F217" s="53"/>
      <c r="G217" s="55"/>
      <c r="H217" s="163" t="s">
        <v>12</v>
      </c>
      <c r="I217" s="57"/>
      <c r="J217" s="57"/>
      <c r="K217" s="58"/>
      <c r="L217" s="61">
        <f ca="1">IFERROR(__xludf.DUMMYFUNCTION("IMPORTRANGE(""https://docs.google.com/spreadsheets/d/1eHaY18a8A9IcSdp1K8H6x8fbOy06t2VsZHhMHf-1x7Y/edit?usp=sharing"",""แผน!AO53"")"),24000)</f>
        <v>24000</v>
      </c>
      <c r="M217" s="58"/>
      <c r="N217" s="620">
        <v>0</v>
      </c>
      <c r="O217" s="183"/>
      <c r="P217" s="58"/>
    </row>
    <row r="218" spans="1:16" ht="19.5" x14ac:dyDescent="0.3">
      <c r="A218" s="167"/>
      <c r="B218" s="168"/>
      <c r="C218" s="298" t="s">
        <v>16</v>
      </c>
      <c r="D218" s="571" t="s">
        <v>36</v>
      </c>
      <c r="E218" s="170"/>
      <c r="F218" s="170"/>
      <c r="G218" s="171"/>
      <c r="H218" s="172"/>
      <c r="I218" s="164"/>
      <c r="J218" s="57"/>
      <c r="K218" s="58"/>
      <c r="L218" s="58"/>
      <c r="M218" s="58"/>
      <c r="N218" s="58"/>
      <c r="O218" s="165"/>
      <c r="P218" s="165"/>
    </row>
    <row r="219" spans="1:16" ht="18.75" x14ac:dyDescent="0.25">
      <c r="A219" s="167"/>
      <c r="B219" s="168"/>
      <c r="C219" s="168"/>
      <c r="D219" s="449" t="s">
        <v>90</v>
      </c>
      <c r="E219" s="174"/>
      <c r="F219" s="174"/>
      <c r="G219" s="172"/>
      <c r="H219" s="296" t="s">
        <v>79</v>
      </c>
      <c r="I219" s="196">
        <f ca="1">IFERROR(__xludf.DUMMYFUNCTION("IMPORTRANGE(""https://docs.google.com/spreadsheets/d/1eHaY18a8A9IcSdp1K8H6x8fbOy06t2VsZHhMHf-1x7Y/edit?usp=sharing"",""แผน!AP53"")"),3)</f>
        <v>3</v>
      </c>
      <c r="J219" s="578">
        <v>0</v>
      </c>
      <c r="K219" s="61">
        <f ca="1">IF(I219&gt;0,J219*100/I219,0)</f>
        <v>0</v>
      </c>
      <c r="L219" s="58"/>
      <c r="M219" s="58"/>
      <c r="N219" s="58"/>
      <c r="O219" s="58"/>
      <c r="P219" s="58"/>
    </row>
    <row r="220" spans="1:16" ht="18.75" x14ac:dyDescent="0.25">
      <c r="A220" s="167"/>
      <c r="B220" s="168"/>
      <c r="C220" s="168"/>
      <c r="D220" s="449" t="s">
        <v>91</v>
      </c>
      <c r="E220" s="174"/>
      <c r="F220" s="174"/>
      <c r="G220" s="172"/>
      <c r="H220" s="296" t="s">
        <v>79</v>
      </c>
      <c r="I220" s="196">
        <f ca="1">IFERROR(__xludf.DUMMYFUNCTION("IMPORTRANGE(""https://docs.google.com/spreadsheets/d/1eHaY18a8A9IcSdp1K8H6x8fbOy06t2VsZHhMHf-1x7Y/edit?usp=sharing"",""แผน!AP53"")"),3)</f>
        <v>3</v>
      </c>
      <c r="J220" s="578">
        <v>0</v>
      </c>
      <c r="K220" s="61">
        <f ca="1">IF(I220&gt;0,J220*100/I220,0)</f>
        <v>0</v>
      </c>
      <c r="L220" s="58"/>
      <c r="M220" s="58"/>
      <c r="N220" s="58"/>
      <c r="O220" s="58"/>
      <c r="P220" s="58"/>
    </row>
    <row r="221" spans="1:16" ht="19.5" x14ac:dyDescent="0.3">
      <c r="A221" s="281"/>
      <c r="B221" s="282"/>
      <c r="C221" s="283" t="s">
        <v>92</v>
      </c>
      <c r="D221" s="284"/>
      <c r="E221" s="284"/>
      <c r="F221" s="284"/>
      <c r="G221" s="285"/>
      <c r="H221" s="286" t="s">
        <v>93</v>
      </c>
      <c r="I221" s="287">
        <f ca="1">I229</f>
        <v>40000</v>
      </c>
      <c r="J221" s="287">
        <f>J229</f>
        <v>0</v>
      </c>
      <c r="K221" s="288">
        <f ca="1">IF(I221&gt;0,J221*100/I221,0)</f>
        <v>0</v>
      </c>
      <c r="L221" s="289"/>
      <c r="M221" s="289"/>
      <c r="N221" s="289"/>
      <c r="O221" s="289"/>
      <c r="P221" s="289"/>
    </row>
    <row r="222" spans="1:16" ht="19.5" x14ac:dyDescent="0.3">
      <c r="A222" s="157"/>
      <c r="B222" s="53"/>
      <c r="C222" s="158" t="s">
        <v>16</v>
      </c>
      <c r="D222" s="621" t="s">
        <v>17</v>
      </c>
      <c r="E222" s="53"/>
      <c r="F222" s="53"/>
      <c r="G222" s="55"/>
      <c r="H222" s="291" t="s">
        <v>12</v>
      </c>
      <c r="I222" s="164"/>
      <c r="J222" s="164"/>
      <c r="K222" s="165"/>
      <c r="L222" s="161">
        <f ca="1">L223+L224+L225</f>
        <v>6500</v>
      </c>
      <c r="M222" s="58"/>
      <c r="N222" s="161">
        <f>N223+N224+N225</f>
        <v>0</v>
      </c>
      <c r="O222" s="161">
        <f ca="1">IF(L222&gt;0,N222*100/L222,0)</f>
        <v>0</v>
      </c>
      <c r="P222" s="161">
        <f>IF(M222&gt;0,N222*100/M222,0)</f>
        <v>0</v>
      </c>
    </row>
    <row r="223" spans="1:16" ht="18.75" x14ac:dyDescent="0.25">
      <c r="A223" s="157"/>
      <c r="B223" s="280"/>
      <c r="C223" s="53"/>
      <c r="D223" s="336" t="s">
        <v>155</v>
      </c>
      <c r="E223" s="53"/>
      <c r="F223" s="53"/>
      <c r="G223" s="55"/>
      <c r="H223" s="163" t="s">
        <v>12</v>
      </c>
      <c r="I223" s="164"/>
      <c r="J223" s="164"/>
      <c r="K223" s="165"/>
      <c r="L223" s="61">
        <f ca="1">IFERROR(__xludf.DUMMYFUNCTION("IMPORTRANGE(""https://docs.google.com/spreadsheets/d/1eHaY18a8A9IcSdp1K8H6x8fbOy06t2VsZHhMHf-1x7Y/edit?usp=sharing"",""แผน!AR53"")"),5000)</f>
        <v>5000</v>
      </c>
      <c r="M223" s="58"/>
      <c r="N223" s="620">
        <v>0</v>
      </c>
      <c r="O223" s="183"/>
      <c r="P223" s="58"/>
    </row>
    <row r="224" spans="1:16" ht="18.75" x14ac:dyDescent="0.25">
      <c r="A224" s="276"/>
      <c r="B224" s="280"/>
      <c r="C224" s="280"/>
      <c r="D224" s="336" t="s">
        <v>154</v>
      </c>
      <c r="E224" s="53"/>
      <c r="F224" s="53"/>
      <c r="G224" s="55"/>
      <c r="H224" s="163" t="s">
        <v>12</v>
      </c>
      <c r="I224" s="57"/>
      <c r="J224" s="57"/>
      <c r="K224" s="58"/>
      <c r="L224" s="61">
        <f ca="1">IFERROR(__xludf.DUMMYFUNCTION("IMPORTRANGE(""https://docs.google.com/spreadsheets/d/1eHaY18a8A9IcSdp1K8H6x8fbOy06t2VsZHhMHf-1x7Y/edit?usp=sharing"",""แผน!AS53"")"),1500)</f>
        <v>1500</v>
      </c>
      <c r="M224" s="58"/>
      <c r="N224" s="620">
        <v>0</v>
      </c>
      <c r="O224" s="183"/>
      <c r="P224" s="58"/>
    </row>
    <row r="225" spans="1:16" ht="18.75" x14ac:dyDescent="0.25">
      <c r="A225" s="276"/>
      <c r="B225" s="280"/>
      <c r="C225" s="280"/>
      <c r="D225" s="336" t="s">
        <v>82</v>
      </c>
      <c r="E225" s="53"/>
      <c r="F225" s="53"/>
      <c r="G225" s="55"/>
      <c r="H225" s="163" t="s">
        <v>12</v>
      </c>
      <c r="I225" s="57"/>
      <c r="J225" s="57"/>
      <c r="K225" s="58"/>
      <c r="L225" s="61">
        <f ca="1">IFERROR(__xludf.DUMMYFUNCTION("IMPORTRANGE(""https://docs.google.com/spreadsheets/d/1eHaY18a8A9IcSdp1K8H6x8fbOy06t2VsZHhMHf-1x7Y/edit?usp=sharing"",""แผน!AT53"")"),0)</f>
        <v>0</v>
      </c>
      <c r="M225" s="58"/>
      <c r="N225" s="620">
        <v>0</v>
      </c>
      <c r="O225" s="183"/>
      <c r="P225" s="58"/>
    </row>
    <row r="226" spans="1:16" ht="19.5" x14ac:dyDescent="0.3">
      <c r="A226" s="167"/>
      <c r="B226" s="168"/>
      <c r="C226" s="298" t="s">
        <v>16</v>
      </c>
      <c r="D226" s="571" t="s">
        <v>36</v>
      </c>
      <c r="E226" s="170"/>
      <c r="F226" s="170"/>
      <c r="G226" s="171"/>
      <c r="H226" s="172"/>
      <c r="I226" s="164"/>
      <c r="J226" s="164"/>
      <c r="K226" s="165"/>
      <c r="L226" s="165"/>
      <c r="M226" s="165"/>
      <c r="N226" s="165"/>
      <c r="O226" s="165"/>
      <c r="P226" s="165"/>
    </row>
    <row r="227" spans="1:16" ht="18.75" x14ac:dyDescent="0.25">
      <c r="A227" s="167"/>
      <c r="B227" s="168"/>
      <c r="C227" s="168"/>
      <c r="D227" s="336" t="s">
        <v>95</v>
      </c>
      <c r="E227" s="174"/>
      <c r="F227" s="174"/>
      <c r="G227" s="172"/>
      <c r="H227" s="172"/>
      <c r="I227" s="57"/>
      <c r="J227" s="57"/>
      <c r="K227" s="165"/>
      <c r="L227" s="165"/>
      <c r="M227" s="165"/>
      <c r="N227" s="165"/>
      <c r="O227" s="165"/>
      <c r="P227" s="165"/>
    </row>
    <row r="228" spans="1:16" ht="18.75" x14ac:dyDescent="0.25">
      <c r="A228" s="167"/>
      <c r="B228" s="168"/>
      <c r="C228" s="168"/>
      <c r="D228" s="168"/>
      <c r="E228" s="449" t="s">
        <v>96</v>
      </c>
      <c r="F228" s="174"/>
      <c r="G228" s="172"/>
      <c r="H228" s="297" t="s">
        <v>93</v>
      </c>
      <c r="I228" s="196">
        <f ca="1">IFERROR(__xludf.DUMMYFUNCTION("IMPORTRANGE(""https://docs.google.com/spreadsheets/d/1eHaY18a8A9IcSdp1K8H6x8fbOy06t2VsZHhMHf-1x7Y/edit?usp=sharing"",""แผน!AV53"")"),40000)</f>
        <v>40000</v>
      </c>
      <c r="J228" s="578">
        <v>40000</v>
      </c>
      <c r="K228" s="183">
        <f ca="1">IF(I228&gt;0,J228*100/I228,0)</f>
        <v>100</v>
      </c>
      <c r="L228" s="165"/>
      <c r="M228" s="165"/>
      <c r="N228" s="165"/>
      <c r="O228" s="165"/>
      <c r="P228" s="165"/>
    </row>
    <row r="229" spans="1:16" ht="18.75" x14ac:dyDescent="0.25">
      <c r="A229" s="167"/>
      <c r="B229" s="168"/>
      <c r="C229" s="168"/>
      <c r="D229" s="168"/>
      <c r="E229" s="449" t="s">
        <v>97</v>
      </c>
      <c r="F229" s="174"/>
      <c r="G229" s="172"/>
      <c r="H229" s="297" t="s">
        <v>93</v>
      </c>
      <c r="I229" s="196">
        <f ca="1">IFERROR(__xludf.DUMMYFUNCTION("IMPORTRANGE(""https://docs.google.com/spreadsheets/d/1eHaY18a8A9IcSdp1K8H6x8fbOy06t2VsZHhMHf-1x7Y/edit?usp=sharing"",""แผน!AV53"")"),40000)</f>
        <v>40000</v>
      </c>
      <c r="J229" s="578">
        <v>0</v>
      </c>
      <c r="K229" s="183">
        <f ca="1">IF(I229&gt;0,J229*100/I229,0)</f>
        <v>0</v>
      </c>
      <c r="L229" s="58"/>
      <c r="M229" s="58"/>
      <c r="N229" s="58"/>
      <c r="O229" s="58"/>
      <c r="P229" s="58"/>
    </row>
    <row r="230" spans="1:16" ht="18.75" x14ac:dyDescent="0.25">
      <c r="A230" s="167"/>
      <c r="B230" s="168"/>
      <c r="C230" s="168"/>
      <c r="D230" s="336" t="s">
        <v>98</v>
      </c>
      <c r="E230" s="174"/>
      <c r="F230" s="174"/>
      <c r="G230" s="172"/>
      <c r="H230" s="297" t="s">
        <v>33</v>
      </c>
      <c r="I230" s="196">
        <f ca="1">IFERROR(__xludf.DUMMYFUNCTION("IMPORTRANGE(""https://docs.google.com/spreadsheets/d/1eHaY18a8A9IcSdp1K8H6x8fbOy06t2VsZHhMHf-1x7Y/edit?usp=sharing"",""แผน!AU53"")"),0)</f>
        <v>0</v>
      </c>
      <c r="J230" s="578">
        <v>0</v>
      </c>
      <c r="K230" s="183">
        <f ca="1">IF(I230&gt;0,J230*100/I230,0)</f>
        <v>0</v>
      </c>
      <c r="L230" s="58"/>
      <c r="M230" s="58"/>
      <c r="N230" s="58"/>
      <c r="O230" s="58"/>
      <c r="P230" s="58"/>
    </row>
    <row r="231" spans="1:16" ht="19.5" hidden="1" x14ac:dyDescent="0.3">
      <c r="A231" s="619"/>
      <c r="B231" s="618"/>
      <c r="C231" s="61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30</v>
      </c>
      <c r="J231" s="613">
        <f>J242+J253</f>
        <v>30</v>
      </c>
      <c r="K231" s="612">
        <f ca="1">IF(I231&gt;0,J231*100/I231,0)</f>
        <v>100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6"/>
      <c r="C232" s="53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131600</v>
      </c>
      <c r="M232" s="521"/>
      <c r="N232" s="545">
        <f>N243+N254</f>
        <v>95965</v>
      </c>
      <c r="O232" s="521"/>
      <c r="P232" s="521"/>
    </row>
    <row r="233" spans="1:16" ht="18.75" hidden="1" x14ac:dyDescent="0.25">
      <c r="A233" s="541"/>
      <c r="B233" s="529"/>
      <c r="C233" s="526"/>
      <c r="D233" s="294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4365</v>
      </c>
      <c r="O233" s="521"/>
      <c r="P233" s="521"/>
    </row>
    <row r="234" spans="1:16" ht="18.75" hidden="1" x14ac:dyDescent="0.25">
      <c r="A234" s="530"/>
      <c r="B234" s="529"/>
      <c r="C234" s="529"/>
      <c r="D234" s="295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295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55600</v>
      </c>
      <c r="M235" s="521"/>
      <c r="N235" s="522">
        <f>N246+N257</f>
        <v>55600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66000</v>
      </c>
      <c r="M236" s="521"/>
      <c r="N236" s="522">
        <f>N247+N258</f>
        <v>36000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533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603" t="s">
        <v>33</v>
      </c>
      <c r="I238" s="201">
        <f ca="1">I249+I260</f>
        <v>30</v>
      </c>
      <c r="J238" s="201">
        <f>J249+J260</f>
        <v>30</v>
      </c>
      <c r="K238" s="522">
        <f ca="1">IF(I238&gt;0,J238*100/I238,0)</f>
        <v>100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533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603" t="s">
        <v>33</v>
      </c>
      <c r="I240" s="201">
        <f ca="1">I251+I262</f>
        <v>30</v>
      </c>
      <c r="J240" s="201">
        <f>J251+J262</f>
        <v>30</v>
      </c>
      <c r="K240" s="522">
        <f ca="1">IF(I240&gt;0,J240*100/I240,0)</f>
        <v>100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603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283" t="s">
        <v>153</v>
      </c>
      <c r="D242" s="284"/>
      <c r="E242" s="284"/>
      <c r="F242" s="284"/>
      <c r="G242" s="285"/>
      <c r="H242" s="286" t="s">
        <v>33</v>
      </c>
      <c r="I242" s="287">
        <f ca="1">I249</f>
        <v>30</v>
      </c>
      <c r="J242" s="287">
        <f>J249</f>
        <v>30</v>
      </c>
      <c r="K242" s="288">
        <f ca="1">IF(I242&gt;0,J242*100/I242,0)</f>
        <v>100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53"/>
      <c r="C243" s="15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131600</v>
      </c>
      <c r="M243" s="58"/>
      <c r="N243" s="161">
        <f>N244+N245+N246+N247</f>
        <v>95965</v>
      </c>
      <c r="O243" s="161">
        <f ca="1">IF(L243&gt;0,N243*100/L243,0)</f>
        <v>72.921732522796347</v>
      </c>
      <c r="P243" s="161">
        <f>IF(M243&gt;0,N243*100/M243,0)</f>
        <v>0</v>
      </c>
    </row>
    <row r="244" spans="1:16" ht="18.75" x14ac:dyDescent="0.25">
      <c r="A244" s="157"/>
      <c r="B244" s="280"/>
      <c r="C244" s="53"/>
      <c r="D244" s="294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IFERROR(__xludf.DUMMYFUNCTION("IMPORTRANGE(""https://docs.google.com/spreadsheets/d/1eHaY18a8A9IcSdp1K8H6x8fbOy06t2VsZHhMHf-1x7Y/edit?usp=sharing"",""แผน!AX53"")"),8000)</f>
        <v>8000</v>
      </c>
      <c r="M244" s="58"/>
      <c r="N244" s="620">
        <v>4365</v>
      </c>
      <c r="O244" s="58"/>
      <c r="P244" s="58"/>
    </row>
    <row r="245" spans="1:16" ht="18.75" x14ac:dyDescent="0.25">
      <c r="A245" s="276"/>
      <c r="B245" s="280"/>
      <c r="C245" s="280"/>
      <c r="D245" s="295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IFERROR(__xludf.DUMMYFUNCTION("IMPORTRANGE(""https://docs.google.com/spreadsheets/d/1eHaY18a8A9IcSdp1K8H6x8fbOy06t2VsZHhMHf-1x7Y/edit?usp=sharing"",""แผน!AY53"")"),2000)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295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IFERROR(__xludf.DUMMYFUNCTION("IMPORTRANGE(""https://docs.google.com/spreadsheets/d/1eHaY18a8A9IcSdp1K8H6x8fbOy06t2VsZHhMHf-1x7Y/edit?usp=sharing"",""แผน!AZ53"")"),55600)</f>
        <v>55600</v>
      </c>
      <c r="M246" s="58"/>
      <c r="N246" s="620">
        <v>55600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IFERROR(__xludf.DUMMYFUNCTION("IMPORTRANGE(""https://docs.google.com/spreadsheets/d/1eHaY18a8A9IcSdp1K8H6x8fbOy06t2VsZHhMHf-1x7Y/edit?usp=sharing"",""แผน!BA53"")"),66000)</f>
        <v>66000</v>
      </c>
      <c r="M247" s="58"/>
      <c r="N247" s="620">
        <v>36000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297" t="s">
        <v>33</v>
      </c>
      <c r="I249" s="196">
        <f ca="1">IFERROR(__xludf.DUMMYFUNCTION("IMPORTRANGE(""https://docs.google.com/spreadsheets/d/1eHaY18a8A9IcSdp1K8H6x8fbOy06t2VsZHhMHf-1x7Y/edit?usp=sharing"",""แผน!BG53"")"),30)</f>
        <v>30</v>
      </c>
      <c r="J249" s="578">
        <v>30</v>
      </c>
      <c r="K249" s="61">
        <f ca="1">IF(I249&gt;0,J249*100/I249,0)</f>
        <v>100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297" t="s">
        <v>33</v>
      </c>
      <c r="I251" s="196">
        <f ca="1">IFERROR(__xludf.DUMMYFUNCTION("IMPORTRANGE(""https://docs.google.com/spreadsheets/d/1eHaY18a8A9IcSdp1K8H6x8fbOy06t2VsZHhMHf-1x7Y/edit?usp=sharing"",""แผน!JZ53"")"),30)</f>
        <v>30</v>
      </c>
      <c r="J251" s="578">
        <v>30</v>
      </c>
      <c r="K251" s="61">
        <f ca="1">IF(I251&gt;0,J251*100/I251,0)</f>
        <v>100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297" t="s">
        <v>54</v>
      </c>
      <c r="I252" s="196">
        <f ca="1">IFERROR(__xludf.DUMMYFUNCTION("IMPORTRANGE(""https://docs.google.com/spreadsheets/d/1eHaY18a8A9IcSdp1K8H6x8fbOy06t2VsZHhMHf-1x7Y/edit?usp=sharing"",""แผน!KA53"")"),1)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619"/>
      <c r="B253" s="618"/>
      <c r="C253" s="617" t="s">
        <v>106</v>
      </c>
      <c r="D253" s="616"/>
      <c r="E253" s="616"/>
      <c r="F253" s="616"/>
      <c r="G253" s="615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611"/>
      <c r="M253" s="611"/>
      <c r="N253" s="611"/>
      <c r="O253" s="611"/>
      <c r="P253" s="611"/>
    </row>
    <row r="254" spans="1:16" ht="19.5" hidden="1" x14ac:dyDescent="0.3">
      <c r="A254" s="541"/>
      <c r="B254" s="526"/>
      <c r="C254" s="537" t="s">
        <v>16</v>
      </c>
      <c r="D254" s="610" t="s">
        <v>17</v>
      </c>
      <c r="E254" s="526"/>
      <c r="F254" s="526"/>
      <c r="G254" s="525"/>
      <c r="H254" s="609" t="s">
        <v>12</v>
      </c>
      <c r="I254" s="532"/>
      <c r="J254" s="532"/>
      <c r="K254" s="531"/>
      <c r="L254" s="545">
        <f ca="1">L255+L256+L257+L258</f>
        <v>0</v>
      </c>
      <c r="M254" s="521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541"/>
      <c r="B255" s="529"/>
      <c r="C255" s="526"/>
      <c r="D255" s="294" t="s">
        <v>152</v>
      </c>
      <c r="E255" s="526"/>
      <c r="F255" s="526"/>
      <c r="G255" s="525"/>
      <c r="H255" s="542" t="s">
        <v>12</v>
      </c>
      <c r="I255" s="532"/>
      <c r="J255" s="532"/>
      <c r="K255" s="531"/>
      <c r="L255" s="522">
        <f ca="1">IFERROR(__xludf.DUMMYFUNCTION("IMPORTRANGE(""https://docs.google.com/spreadsheets/d/1eHaY18a8A9IcSdp1K8H6x8fbOy06t2VsZHhMHf-1x7Y/edit?usp=sharing"",""แผน!BB53"")"),0)</f>
        <v>0</v>
      </c>
      <c r="M255" s="521"/>
      <c r="N255" s="608">
        <v>0</v>
      </c>
      <c r="O255" s="521"/>
      <c r="P255" s="521"/>
    </row>
    <row r="256" spans="1:16" ht="18.75" hidden="1" x14ac:dyDescent="0.25">
      <c r="A256" s="530"/>
      <c r="B256" s="529"/>
      <c r="C256" s="529"/>
      <c r="D256" s="295" t="s">
        <v>81</v>
      </c>
      <c r="E256" s="526"/>
      <c r="F256" s="526"/>
      <c r="G256" s="525"/>
      <c r="H256" s="542" t="s">
        <v>12</v>
      </c>
      <c r="I256" s="199"/>
      <c r="J256" s="199"/>
      <c r="K256" s="521"/>
      <c r="L256" s="522">
        <f ca="1">IFERROR(__xludf.DUMMYFUNCTION("IMPORTRANGE(""https://docs.google.com/spreadsheets/d/1eHaY18a8A9IcSdp1K8H6x8fbOy06t2VsZHhMHf-1x7Y/edit?usp=sharing"",""แผน!BC53"")"),0)</f>
        <v>0</v>
      </c>
      <c r="M256" s="521"/>
      <c r="N256" s="608">
        <v>0</v>
      </c>
      <c r="O256" s="521"/>
      <c r="P256" s="521"/>
    </row>
    <row r="257" spans="1:16" ht="18.75" hidden="1" x14ac:dyDescent="0.25">
      <c r="A257" s="530"/>
      <c r="B257" s="529"/>
      <c r="C257" s="529"/>
      <c r="D257" s="295" t="s">
        <v>82</v>
      </c>
      <c r="E257" s="526"/>
      <c r="F257" s="526"/>
      <c r="G257" s="525"/>
      <c r="H257" s="542" t="s">
        <v>12</v>
      </c>
      <c r="I257" s="199"/>
      <c r="J257" s="199"/>
      <c r="K257" s="521"/>
      <c r="L257" s="522">
        <f ca="1">IFERROR(__xludf.DUMMYFUNCTION("IMPORTRANGE(""https://docs.google.com/spreadsheets/d/1eHaY18a8A9IcSdp1K8H6x8fbOy06t2VsZHhMHf-1x7Y/edit?usp=sharing"",""แผน!BD53"")"),0)</f>
        <v>0</v>
      </c>
      <c r="M257" s="521"/>
      <c r="N257" s="608">
        <v>0</v>
      </c>
      <c r="O257" s="521"/>
      <c r="P257" s="521"/>
    </row>
    <row r="258" spans="1:16" ht="18.75" hidden="1" x14ac:dyDescent="0.25">
      <c r="A258" s="530"/>
      <c r="B258" s="529"/>
      <c r="C258" s="529"/>
      <c r="D258" s="295" t="s">
        <v>83</v>
      </c>
      <c r="E258" s="526"/>
      <c r="F258" s="526"/>
      <c r="G258" s="525"/>
      <c r="H258" s="542" t="s">
        <v>12</v>
      </c>
      <c r="I258" s="199"/>
      <c r="J258" s="199"/>
      <c r="K258" s="521"/>
      <c r="L258" s="522">
        <f ca="1">IFERROR(__xludf.DUMMYFUNCTION("IMPORTRANGE(""https://docs.google.com/spreadsheets/d/1eHaY18a8A9IcSdp1K8H6x8fbOy06t2VsZHhMHf-1x7Y/edit?usp=sharing"",""แผน!BE53"")"),0)</f>
        <v>0</v>
      </c>
      <c r="M258" s="521"/>
      <c r="N258" s="608">
        <v>0</v>
      </c>
      <c r="O258" s="521"/>
      <c r="P258" s="521"/>
    </row>
    <row r="259" spans="1:16" ht="19.5" hidden="1" x14ac:dyDescent="0.3">
      <c r="A259" s="538"/>
      <c r="B259" s="527"/>
      <c r="C259" s="607" t="s">
        <v>16</v>
      </c>
      <c r="D259" s="536" t="s">
        <v>36</v>
      </c>
      <c r="E259" s="535"/>
      <c r="F259" s="535"/>
      <c r="G259" s="534"/>
      <c r="H259" s="533"/>
      <c r="I259" s="532"/>
      <c r="J259" s="199"/>
      <c r="K259" s="521"/>
      <c r="L259" s="521"/>
      <c r="M259" s="521"/>
      <c r="N259" s="521"/>
      <c r="O259" s="531"/>
      <c r="P259" s="531"/>
    </row>
    <row r="260" spans="1:16" ht="18.75" hidden="1" x14ac:dyDescent="0.25">
      <c r="A260" s="538"/>
      <c r="B260" s="527"/>
      <c r="C260" s="527"/>
      <c r="D260" s="528" t="s">
        <v>102</v>
      </c>
      <c r="E260" s="604"/>
      <c r="F260" s="604"/>
      <c r="G260" s="533"/>
      <c r="H260" s="603" t="s">
        <v>33</v>
      </c>
      <c r="I260" s="201">
        <f ca="1">IFERROR(__xludf.DUMMYFUNCTION("IMPORTRANGE(""https://docs.google.com/spreadsheets/d/1eHaY18a8A9IcSdp1K8H6x8fbOy06t2VsZHhMHf-1x7Y/edit?usp=sharing"",""แผน!BH53"")"),0)</f>
        <v>0</v>
      </c>
      <c r="J260" s="523">
        <v>0</v>
      </c>
      <c r="K260" s="522">
        <f ca="1">IF(I260&gt;0,J260*100/I260,0)</f>
        <v>0</v>
      </c>
      <c r="L260" s="521"/>
      <c r="M260" s="521"/>
      <c r="N260" s="521"/>
      <c r="O260" s="521"/>
      <c r="P260" s="521"/>
    </row>
    <row r="261" spans="1:16" ht="18.75" hidden="1" x14ac:dyDescent="0.25">
      <c r="A261" s="538"/>
      <c r="B261" s="527"/>
      <c r="C261" s="527"/>
      <c r="D261" s="606" t="s">
        <v>41</v>
      </c>
      <c r="E261" s="604"/>
      <c r="F261" s="604"/>
      <c r="G261" s="533"/>
      <c r="H261" s="533"/>
      <c r="I261" s="199"/>
      <c r="J261" s="199"/>
      <c r="K261" s="521"/>
      <c r="L261" s="521"/>
      <c r="M261" s="521"/>
      <c r="N261" s="521"/>
      <c r="O261" s="531"/>
      <c r="P261" s="531"/>
    </row>
    <row r="262" spans="1:16" ht="18.75" hidden="1" x14ac:dyDescent="0.25">
      <c r="A262" s="538"/>
      <c r="B262" s="527"/>
      <c r="C262" s="527"/>
      <c r="D262" s="527"/>
      <c r="E262" s="605" t="s">
        <v>103</v>
      </c>
      <c r="F262" s="604"/>
      <c r="G262" s="533"/>
      <c r="H262" s="603" t="s">
        <v>33</v>
      </c>
      <c r="I262" s="199"/>
      <c r="J262" s="523">
        <v>0</v>
      </c>
      <c r="K262" s="522">
        <f>IF(I262&gt;0,J262*100/I262,0)</f>
        <v>0</v>
      </c>
      <c r="L262" s="521"/>
      <c r="M262" s="521"/>
      <c r="N262" s="521"/>
      <c r="O262" s="521"/>
      <c r="P262" s="521"/>
    </row>
    <row r="263" spans="1:16" ht="18.75" hidden="1" x14ac:dyDescent="0.25">
      <c r="A263" s="538"/>
      <c r="B263" s="527"/>
      <c r="C263" s="527"/>
      <c r="D263" s="527"/>
      <c r="E263" s="605" t="s">
        <v>104</v>
      </c>
      <c r="F263" s="604"/>
      <c r="G263" s="533"/>
      <c r="H263" s="603" t="s">
        <v>54</v>
      </c>
      <c r="I263" s="199"/>
      <c r="J263" s="523">
        <v>0</v>
      </c>
      <c r="K263" s="522">
        <f>IF(I263&gt;0,J263*100/I263,0)</f>
        <v>0</v>
      </c>
      <c r="L263" s="521"/>
      <c r="M263" s="521"/>
      <c r="N263" s="521"/>
      <c r="O263" s="521"/>
      <c r="P263" s="521"/>
    </row>
    <row r="264" spans="1:16" ht="19.5" hidden="1" x14ac:dyDescent="0.3">
      <c r="A264" s="602" t="s">
        <v>107</v>
      </c>
      <c r="B264" s="601"/>
      <c r="C264" s="601"/>
      <c r="D264" s="600"/>
      <c r="E264" s="600"/>
      <c r="F264" s="600"/>
      <c r="G264" s="599"/>
      <c r="H264" s="599"/>
      <c r="I264" s="598"/>
      <c r="J264" s="598"/>
      <c r="K264" s="597"/>
      <c r="L264" s="597"/>
      <c r="M264" s="597"/>
      <c r="N264" s="597"/>
      <c r="O264" s="597"/>
      <c r="P264" s="597"/>
    </row>
    <row r="265" spans="1:16" ht="19.5" hidden="1" x14ac:dyDescent="0.3">
      <c r="A265" s="596"/>
      <c r="B265" s="595" t="s">
        <v>108</v>
      </c>
      <c r="C265" s="594"/>
      <c r="D265" s="535"/>
      <c r="E265" s="535"/>
      <c r="F265" s="535"/>
      <c r="G265" s="534"/>
      <c r="H265" s="593" t="s">
        <v>33</v>
      </c>
      <c r="I265" s="592">
        <f>I276</f>
        <v>0</v>
      </c>
      <c r="J265" s="592">
        <f>J276</f>
        <v>0</v>
      </c>
      <c r="K265" s="591">
        <f>IF(I265&gt;0,J265*100/I265,0)</f>
        <v>0</v>
      </c>
      <c r="L265" s="590"/>
      <c r="M265" s="590"/>
      <c r="N265" s="590"/>
      <c r="O265" s="590"/>
      <c r="P265" s="590"/>
    </row>
    <row r="266" spans="1:16" ht="19.5" hidden="1" x14ac:dyDescent="0.3">
      <c r="A266" s="541"/>
      <c r="B266" s="526"/>
      <c r="C266" s="537" t="s">
        <v>16</v>
      </c>
      <c r="D266" s="547" t="s">
        <v>17</v>
      </c>
      <c r="E266" s="526"/>
      <c r="F266" s="526"/>
      <c r="G266" s="525"/>
      <c r="H266" s="546" t="s">
        <v>12</v>
      </c>
      <c r="I266" s="199"/>
      <c r="J266" s="199"/>
      <c r="K266" s="521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541"/>
      <c r="B267" s="526"/>
      <c r="C267" s="526"/>
      <c r="D267" s="526"/>
      <c r="E267" s="540" t="s">
        <v>18</v>
      </c>
      <c r="F267" s="526"/>
      <c r="G267" s="525"/>
      <c r="H267" s="544" t="s">
        <v>12</v>
      </c>
      <c r="I267" s="199"/>
      <c r="J267" s="199"/>
      <c r="K267" s="521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541"/>
      <c r="B268" s="526"/>
      <c r="C268" s="526"/>
      <c r="D268" s="526"/>
      <c r="E268" s="540" t="s">
        <v>19</v>
      </c>
      <c r="F268" s="526"/>
      <c r="G268" s="525"/>
      <c r="H268" s="544" t="s">
        <v>12</v>
      </c>
      <c r="I268" s="199"/>
      <c r="J268" s="199"/>
      <c r="K268" s="521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541"/>
      <c r="B269" s="526"/>
      <c r="C269" s="526"/>
      <c r="D269" s="543" t="s">
        <v>20</v>
      </c>
      <c r="E269" s="526"/>
      <c r="F269" s="526"/>
      <c r="G269" s="525"/>
      <c r="H269" s="542" t="s">
        <v>12</v>
      </c>
      <c r="I269" s="532"/>
      <c r="J269" s="532"/>
      <c r="K269" s="531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541"/>
      <c r="B270" s="526"/>
      <c r="C270" s="526"/>
      <c r="D270" s="526"/>
      <c r="E270" s="540" t="s">
        <v>34</v>
      </c>
      <c r="F270" s="526"/>
      <c r="G270" s="525"/>
      <c r="H270" s="542" t="s">
        <v>12</v>
      </c>
      <c r="I270" s="532"/>
      <c r="J270" s="532"/>
      <c r="K270" s="531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541"/>
      <c r="B271" s="526"/>
      <c r="C271" s="526"/>
      <c r="D271" s="526"/>
      <c r="E271" s="540" t="s">
        <v>35</v>
      </c>
      <c r="F271" s="526"/>
      <c r="G271" s="525"/>
      <c r="H271" s="542" t="s">
        <v>12</v>
      </c>
      <c r="I271" s="532"/>
      <c r="J271" s="532"/>
      <c r="K271" s="531"/>
      <c r="L271" s="522">
        <f ca="1">IFERROR(__xludf.DUMMYFUNCTION("IMPORTRANGE(""https://docs.google.com/spreadsheets/d/1-uDff_7J0KD5mKrp0Vvzr7lt3OU09vwQwhkpOPPYv2Y/edit?usp=sharing"",""งบพรบ!DE53"")"),0)</f>
        <v>0</v>
      </c>
      <c r="M271" s="522">
        <f ca="1">IFERROR(__xludf.DUMMYFUNCTION("IMPORTRANGE(""https://docs.google.com/spreadsheets/d/1-uDff_7J0KD5mKrp0Vvzr7lt3OU09vwQwhkpOPPYv2Y/edit?usp=sharing"",""งบพรบ!DJ53"")"),0)</f>
        <v>0</v>
      </c>
      <c r="N271" s="522">
        <f ca="1">IFERROR(__xludf.DUMMYFUNCTION("IMPORTRANGE(""https://docs.google.com/spreadsheets/d/1-uDff_7J0KD5mKrp0Vvzr7lt3OU09vwQwhkpOPPYv2Y/edit?usp=sharing"",""งบพรบ!DL53"")"),0)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541"/>
      <c r="B272" s="526"/>
      <c r="C272" s="526"/>
      <c r="D272" s="543" t="s">
        <v>21</v>
      </c>
      <c r="E272" s="526"/>
      <c r="F272" s="526"/>
      <c r="G272" s="525"/>
      <c r="H272" s="539" t="s">
        <v>12</v>
      </c>
      <c r="I272" s="532"/>
      <c r="J272" s="532"/>
      <c r="K272" s="531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541"/>
      <c r="B273" s="526"/>
      <c r="C273" s="526"/>
      <c r="D273" s="526"/>
      <c r="E273" s="540" t="s">
        <v>18</v>
      </c>
      <c r="F273" s="526"/>
      <c r="G273" s="525"/>
      <c r="H273" s="542" t="s">
        <v>12</v>
      </c>
      <c r="I273" s="532"/>
      <c r="J273" s="532"/>
      <c r="K273" s="531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541"/>
      <c r="B274" s="526"/>
      <c r="C274" s="526"/>
      <c r="D274" s="526"/>
      <c r="E274" s="540" t="s">
        <v>19</v>
      </c>
      <c r="F274" s="526"/>
      <c r="G274" s="525"/>
      <c r="H274" s="539" t="s">
        <v>12</v>
      </c>
      <c r="I274" s="532"/>
      <c r="J274" s="532"/>
      <c r="K274" s="531"/>
      <c r="L274" s="522">
        <f ca="1">IFERROR(__xludf.DUMMYFUNCTION("IMPORTRANGE(""https://docs.google.com/spreadsheets/d/1-uDff_7J0KD5mKrp0Vvzr7lt3OU09vwQwhkpOPPYv2Y/edit?usp=sharing"",""งบพรบ!DH53"")"),0)</f>
        <v>0</v>
      </c>
      <c r="M274" s="522">
        <f ca="1">IFERROR(__xludf.DUMMYFUNCTION("IMPORTRANGE(""https://docs.google.com/spreadsheets/d/1-uDff_7J0KD5mKrp0Vvzr7lt3OU09vwQwhkpOPPYv2Y/edit?usp=sharing"",""งบพรบ!DK53"")"),0)</f>
        <v>0</v>
      </c>
      <c r="N274" s="522">
        <f ca="1">IFERROR(__xludf.DUMMYFUNCTION("IMPORTRANGE(""https://docs.google.com/spreadsheets/d/1-uDff_7J0KD5mKrp0Vvzr7lt3OU09vwQwhkpOPPYv2Y/edit?usp=sharing"",""งบพรบ!DM53"")"),0)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538"/>
      <c r="B275" s="527"/>
      <c r="C275" s="540" t="s">
        <v>16</v>
      </c>
      <c r="D275" s="536" t="s">
        <v>36</v>
      </c>
      <c r="E275" s="535"/>
      <c r="F275" s="535"/>
      <c r="G275" s="534"/>
      <c r="H275" s="533"/>
      <c r="I275" s="532"/>
      <c r="J275" s="532"/>
      <c r="K275" s="531"/>
      <c r="L275" s="531"/>
      <c r="M275" s="531"/>
      <c r="N275" s="531"/>
      <c r="O275" s="531"/>
      <c r="P275" s="531"/>
    </row>
    <row r="276" spans="1:16" ht="18.75" hidden="1" x14ac:dyDescent="0.25">
      <c r="A276" s="186"/>
      <c r="B276" s="187"/>
      <c r="C276" s="187"/>
      <c r="D276" s="202"/>
      <c r="E276" s="189"/>
      <c r="F276" s="189"/>
      <c r="G276" s="190"/>
      <c r="H276" s="191"/>
      <c r="I276" s="192"/>
      <c r="J276" s="192"/>
      <c r="K276" s="193"/>
      <c r="L276" s="200"/>
      <c r="M276" s="200"/>
      <c r="N276" s="200"/>
      <c r="O276" s="200"/>
      <c r="P276" s="200"/>
    </row>
    <row r="277" spans="1:16" ht="18.75" hidden="1" x14ac:dyDescent="0.25">
      <c r="A277" s="589"/>
      <c r="B277" s="588"/>
      <c r="C277" s="588"/>
      <c r="D277" s="587" t="s">
        <v>109</v>
      </c>
      <c r="E277" s="586"/>
      <c r="F277" s="586"/>
      <c r="G277" s="585"/>
      <c r="H277" s="584" t="s">
        <v>33</v>
      </c>
      <c r="I277" s="583">
        <v>0</v>
      </c>
      <c r="J277" s="583">
        <v>0</v>
      </c>
      <c r="K277" s="582">
        <v>0</v>
      </c>
      <c r="L277" s="581"/>
      <c r="M277" s="581"/>
      <c r="N277" s="581"/>
      <c r="O277" s="581"/>
      <c r="P277" s="581"/>
    </row>
    <row r="278" spans="1:16" ht="19.5" hidden="1" x14ac:dyDescent="0.3">
      <c r="A278" s="348" t="s">
        <v>110</v>
      </c>
      <c r="B278" s="349"/>
      <c r="C278" s="349"/>
      <c r="D278" s="349"/>
      <c r="E278" s="350"/>
      <c r="F278" s="350"/>
      <c r="G278" s="350"/>
      <c r="H278" s="350"/>
      <c r="I278" s="351"/>
      <c r="J278" s="351"/>
      <c r="K278" s="352"/>
      <c r="L278" s="352"/>
      <c r="M278" s="352"/>
      <c r="N278" s="352"/>
      <c r="O278" s="352"/>
      <c r="P278" s="580"/>
    </row>
    <row r="279" spans="1:16" ht="19.5" hidden="1" x14ac:dyDescent="0.3">
      <c r="A279" s="355" t="s">
        <v>111</v>
      </c>
      <c r="B279" s="356"/>
      <c r="C279" s="357"/>
      <c r="D279" s="356"/>
      <c r="E279" s="356"/>
      <c r="F279" s="356"/>
      <c r="G279" s="356"/>
      <c r="H279" s="356"/>
      <c r="I279" s="358"/>
      <c r="J279" s="359"/>
      <c r="K279" s="360"/>
      <c r="L279" s="360"/>
      <c r="M279" s="360"/>
      <c r="N279" s="360"/>
      <c r="O279" s="360"/>
      <c r="P279" s="360"/>
    </row>
    <row r="280" spans="1:16" ht="19.5" hidden="1" x14ac:dyDescent="0.3">
      <c r="A280" s="361"/>
      <c r="B280" s="362" t="s">
        <v>112</v>
      </c>
      <c r="C280" s="363"/>
      <c r="D280" s="364"/>
      <c r="E280" s="363"/>
      <c r="F280" s="363"/>
      <c r="G280" s="365"/>
      <c r="H280" s="366" t="s">
        <v>33</v>
      </c>
      <c r="I280" s="367">
        <f ca="1">I293</f>
        <v>0</v>
      </c>
      <c r="J280" s="367">
        <f>J293</f>
        <v>0</v>
      </c>
      <c r="K280" s="368">
        <f ca="1">IF(I280&gt;0,J280*100/I280,0)</f>
        <v>0</v>
      </c>
      <c r="L280" s="369"/>
      <c r="M280" s="369"/>
      <c r="N280" s="369"/>
      <c r="O280" s="369"/>
      <c r="P280" s="369"/>
    </row>
    <row r="281" spans="1:16" ht="19.5" hidden="1" x14ac:dyDescent="0.3">
      <c r="A281" s="361"/>
      <c r="B281" s="363"/>
      <c r="C281" s="363"/>
      <c r="D281" s="364"/>
      <c r="E281" s="363"/>
      <c r="F281" s="363"/>
      <c r="G281" s="365"/>
      <c r="H281" s="366" t="s">
        <v>44</v>
      </c>
      <c r="I281" s="367">
        <f ca="1">I292</f>
        <v>0</v>
      </c>
      <c r="J281" s="367">
        <f>J292</f>
        <v>0</v>
      </c>
      <c r="K281" s="368">
        <f ca="1">IF(I281&gt;0,J281*100/I281,0)</f>
        <v>0</v>
      </c>
      <c r="L281" s="369"/>
      <c r="M281" s="369"/>
      <c r="N281" s="369"/>
      <c r="O281" s="369"/>
      <c r="P281" s="369"/>
    </row>
    <row r="282" spans="1:16" ht="19.5" hidden="1" x14ac:dyDescent="0.3">
      <c r="A282" s="157"/>
      <c r="B282" s="53"/>
      <c r="C282" s="158" t="s">
        <v>16</v>
      </c>
      <c r="D282" s="574" t="s">
        <v>17</v>
      </c>
      <c r="E282" s="53"/>
      <c r="F282" s="53"/>
      <c r="G282" s="55"/>
      <c r="H282" s="160" t="s">
        <v>12</v>
      </c>
      <c r="I282" s="57"/>
      <c r="J282" s="57"/>
      <c r="K282" s="58"/>
      <c r="L282" s="161">
        <f ca="1">L283+L284</f>
        <v>0</v>
      </c>
      <c r="M282" s="161">
        <f ca="1">M283+M284</f>
        <v>0</v>
      </c>
      <c r="N282" s="161">
        <f ca="1">N283+N284</f>
        <v>0</v>
      </c>
      <c r="O282" s="161">
        <f ca="1">IF(L282&gt;0,N282*100/L282,0)</f>
        <v>0</v>
      </c>
      <c r="P282" s="161">
        <f ca="1">IF(M282&gt;0,N282*100/M282,0)</f>
        <v>0</v>
      </c>
    </row>
    <row r="283" spans="1:16" ht="18.75" hidden="1" x14ac:dyDescent="0.25">
      <c r="A283" s="541"/>
      <c r="B283" s="526"/>
      <c r="C283" s="526"/>
      <c r="D283" s="526"/>
      <c r="E283" s="540" t="s">
        <v>18</v>
      </c>
      <c r="F283" s="526"/>
      <c r="G283" s="525"/>
      <c r="H283" s="544" t="s">
        <v>12</v>
      </c>
      <c r="I283" s="199"/>
      <c r="J283" s="199"/>
      <c r="K283" s="521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157"/>
      <c r="B284" s="53"/>
      <c r="C284" s="53"/>
      <c r="D284" s="53"/>
      <c r="E284" s="336" t="s">
        <v>19</v>
      </c>
      <c r="F284" s="53"/>
      <c r="G284" s="55"/>
      <c r="H284" s="162" t="s">
        <v>12</v>
      </c>
      <c r="I284" s="57"/>
      <c r="J284" s="57"/>
      <c r="K284" s="58"/>
      <c r="L284" s="61">
        <f ca="1">L287+L290</f>
        <v>0</v>
      </c>
      <c r="M284" s="61">
        <f ca="1">M287+M290</f>
        <v>0</v>
      </c>
      <c r="N284" s="61">
        <f ca="1">N287+N290</f>
        <v>0</v>
      </c>
      <c r="O284" s="61">
        <f ca="1">IF(L284&gt;0,N284*100/L284,0)</f>
        <v>0</v>
      </c>
      <c r="P284" s="61">
        <f ca="1">IF(M284&gt;0,N284*100/M284,0)</f>
        <v>0</v>
      </c>
    </row>
    <row r="285" spans="1:16" ht="18.75" hidden="1" x14ac:dyDescent="0.25">
      <c r="A285" s="157"/>
      <c r="B285" s="53"/>
      <c r="C285" s="53"/>
      <c r="D285" s="573" t="s">
        <v>20</v>
      </c>
      <c r="E285" s="53"/>
      <c r="F285" s="53"/>
      <c r="G285" s="55"/>
      <c r="H285" s="163" t="s">
        <v>12</v>
      </c>
      <c r="I285" s="164"/>
      <c r="J285" s="164"/>
      <c r="K285" s="165"/>
      <c r="L285" s="61">
        <f ca="1">L286+L287</f>
        <v>0</v>
      </c>
      <c r="M285" s="61">
        <f ca="1">M286+M287</f>
        <v>0</v>
      </c>
      <c r="N285" s="61">
        <f ca="1">N286+N287</f>
        <v>0</v>
      </c>
      <c r="O285" s="61">
        <f ca="1">IF(L285&gt;0,N285*100/L285,0)</f>
        <v>0</v>
      </c>
      <c r="P285" s="61">
        <f ca="1">IF(M285&gt;0,N285*100/M285,0)</f>
        <v>0</v>
      </c>
    </row>
    <row r="286" spans="1:16" ht="18.75" hidden="1" x14ac:dyDescent="0.25">
      <c r="A286" s="541"/>
      <c r="B286" s="526"/>
      <c r="C286" s="526"/>
      <c r="D286" s="526"/>
      <c r="E286" s="540" t="s">
        <v>34</v>
      </c>
      <c r="F286" s="526"/>
      <c r="G286" s="525"/>
      <c r="H286" s="542" t="s">
        <v>12</v>
      </c>
      <c r="I286" s="532"/>
      <c r="J286" s="532"/>
      <c r="K286" s="531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157"/>
      <c r="B287" s="53"/>
      <c r="C287" s="53"/>
      <c r="D287" s="53"/>
      <c r="E287" s="336" t="s">
        <v>35</v>
      </c>
      <c r="F287" s="53"/>
      <c r="G287" s="55"/>
      <c r="H287" s="163" t="s">
        <v>12</v>
      </c>
      <c r="I287" s="164"/>
      <c r="J287" s="164"/>
      <c r="K287" s="165"/>
      <c r="L287" s="61">
        <f ca="1">IFERROR(__xludf.DUMMYFUNCTION("IMPORTRANGE(""https://docs.google.com/spreadsheets/d/1-uDff_7J0KD5mKrp0Vvzr7lt3OU09vwQwhkpOPPYv2Y/edit?usp=sharing"",""งบพรบ!DO53"")"),0)</f>
        <v>0</v>
      </c>
      <c r="M287" s="61">
        <f ca="1">IFERROR(__xludf.DUMMYFUNCTION("IMPORTRANGE(""https://docs.google.com/spreadsheets/d/1-uDff_7J0KD5mKrp0Vvzr7lt3OU09vwQwhkpOPPYv2Y/edit?usp=sharing"",""งบพรบ!DT53"")"),0)</f>
        <v>0</v>
      </c>
      <c r="N287" s="61">
        <f ca="1">IFERROR(__xludf.DUMMYFUNCTION("IMPORTRANGE(""https://docs.google.com/spreadsheets/d/1-uDff_7J0KD5mKrp0Vvzr7lt3OU09vwQwhkpOPPYv2Y/edit?usp=sharing"",""งบพรบ!DV53"")"),0)</f>
        <v>0</v>
      </c>
      <c r="O287" s="61">
        <f ca="1">IF(L287&gt;0,N287*100/L287,0)</f>
        <v>0</v>
      </c>
      <c r="P287" s="61">
        <f ca="1">IF(M287&gt;0,N287*100/M287,0)</f>
        <v>0</v>
      </c>
    </row>
    <row r="288" spans="1:16" ht="18.75" hidden="1" x14ac:dyDescent="0.25">
      <c r="A288" s="157"/>
      <c r="B288" s="53"/>
      <c r="C288" s="53"/>
      <c r="D288" s="573" t="s">
        <v>21</v>
      </c>
      <c r="E288" s="53"/>
      <c r="F288" s="53"/>
      <c r="G288" s="55"/>
      <c r="H288" s="166" t="s">
        <v>12</v>
      </c>
      <c r="I288" s="164"/>
      <c r="J288" s="164"/>
      <c r="K288" s="165"/>
      <c r="L288" s="61">
        <f ca="1">L289+L290</f>
        <v>0</v>
      </c>
      <c r="M288" s="61">
        <f ca="1">M289+M290</f>
        <v>0</v>
      </c>
      <c r="N288" s="61">
        <f ca="1">N289+N290</f>
        <v>0</v>
      </c>
      <c r="O288" s="61">
        <f ca="1">IF(L288&gt;0,N288*100/L288,0)</f>
        <v>0</v>
      </c>
      <c r="P288" s="61">
        <f ca="1">IF(M288&gt;0,N288*100/M288,0)</f>
        <v>0</v>
      </c>
    </row>
    <row r="289" spans="1:16" ht="18.75" hidden="1" x14ac:dyDescent="0.25">
      <c r="A289" s="541"/>
      <c r="B289" s="526"/>
      <c r="C289" s="526"/>
      <c r="D289" s="526"/>
      <c r="E289" s="540" t="s">
        <v>18</v>
      </c>
      <c r="F289" s="526"/>
      <c r="G289" s="525"/>
      <c r="H289" s="542" t="s">
        <v>12</v>
      </c>
      <c r="I289" s="532"/>
      <c r="J289" s="532"/>
      <c r="K289" s="531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157"/>
      <c r="B290" s="53"/>
      <c r="C290" s="53"/>
      <c r="D290" s="53"/>
      <c r="E290" s="336" t="s">
        <v>19</v>
      </c>
      <c r="F290" s="53"/>
      <c r="G290" s="55"/>
      <c r="H290" s="166" t="s">
        <v>12</v>
      </c>
      <c r="I290" s="164"/>
      <c r="J290" s="164"/>
      <c r="K290" s="165"/>
      <c r="L290" s="61">
        <f ca="1">IFERROR(__xludf.DUMMYFUNCTION("IMPORTRANGE(""https://docs.google.com/spreadsheets/d/1-uDff_7J0KD5mKrp0Vvzr7lt3OU09vwQwhkpOPPYv2Y/edit?usp=sharing"",""งบพรบ!DR53"")"),0)</f>
        <v>0</v>
      </c>
      <c r="M290" s="61">
        <f ca="1">IFERROR(__xludf.DUMMYFUNCTION("IMPORTRANGE(""https://docs.google.com/spreadsheets/d/1-uDff_7J0KD5mKrp0Vvzr7lt3OU09vwQwhkpOPPYv2Y/edit?usp=sharing"",""งบพรบ!DU53"")"),0)</f>
        <v>0</v>
      </c>
      <c r="N290" s="61">
        <f ca="1">IFERROR(__xludf.DUMMYFUNCTION("IMPORTRANGE(""https://docs.google.com/spreadsheets/d/1-uDff_7J0KD5mKrp0Vvzr7lt3OU09vwQwhkpOPPYv2Y/edit?usp=sharing"",""งบพรบ!DW53"")"),0)</f>
        <v>0</v>
      </c>
      <c r="O290" s="61">
        <f ca="1">IF(L290&gt;0,N290*100/L290,0)</f>
        <v>0</v>
      </c>
      <c r="P290" s="61">
        <f ca="1">IF(M290&gt;0,N290*100/M290,0)</f>
        <v>0</v>
      </c>
    </row>
    <row r="291" spans="1:16" ht="19.5" hidden="1" x14ac:dyDescent="0.3">
      <c r="A291" s="167"/>
      <c r="B291" s="168"/>
      <c r="C291" s="158" t="s">
        <v>16</v>
      </c>
      <c r="D291" s="571" t="s">
        <v>36</v>
      </c>
      <c r="E291" s="170"/>
      <c r="F291" s="170"/>
      <c r="G291" s="171"/>
      <c r="H291" s="172"/>
      <c r="I291" s="164"/>
      <c r="J291" s="164"/>
      <c r="K291" s="165"/>
      <c r="L291" s="165"/>
      <c r="M291" s="165"/>
      <c r="N291" s="165"/>
      <c r="O291" s="165"/>
      <c r="P291" s="165"/>
    </row>
    <row r="292" spans="1:16" ht="18.75" hidden="1" x14ac:dyDescent="0.25">
      <c r="A292" s="167"/>
      <c r="B292" s="168"/>
      <c r="C292" s="168"/>
      <c r="D292" s="195" t="s">
        <v>113</v>
      </c>
      <c r="E292" s="168"/>
      <c r="F292" s="174"/>
      <c r="G292" s="172"/>
      <c r="H292" s="185" t="s">
        <v>44</v>
      </c>
      <c r="I292" s="196">
        <f ca="1">IFERROR(__xludf.DUMMYFUNCTION("IMPORTRANGE(""https://docs.google.com/spreadsheets/d/1eHaY18a8A9IcSdp1K8H6x8fbOy06t2VsZHhMHf-1x7Y/edit?usp=sharing"",""แผน!EE53"")"),0)</f>
        <v>0</v>
      </c>
      <c r="J292" s="578">
        <v>0</v>
      </c>
      <c r="K292" s="183">
        <f ca="1">IF(I292&gt;0,J292*100/I292,0)</f>
        <v>0</v>
      </c>
      <c r="L292" s="165"/>
      <c r="M292" s="165"/>
      <c r="N292" s="165"/>
      <c r="O292" s="165"/>
      <c r="P292" s="165"/>
    </row>
    <row r="293" spans="1:16" ht="19.5" hidden="1" x14ac:dyDescent="0.3">
      <c r="A293" s="167"/>
      <c r="B293" s="168"/>
      <c r="C293" s="168"/>
      <c r="D293" s="195" t="s">
        <v>114</v>
      </c>
      <c r="E293" s="168"/>
      <c r="F293" s="174"/>
      <c r="G293" s="172"/>
      <c r="H293" s="175" t="s">
        <v>33</v>
      </c>
      <c r="I293" s="176">
        <f ca="1">IFERROR(__xludf.DUMMYFUNCTION("IMPORTRANGE(""https://docs.google.com/spreadsheets/d/1eHaY18a8A9IcSdp1K8H6x8fbOy06t2VsZHhMHf-1x7Y/edit?usp=sharing"",""แผน!ED53"")"),0)</f>
        <v>0</v>
      </c>
      <c r="J293" s="176">
        <f>J296</f>
        <v>0</v>
      </c>
      <c r="K293" s="177">
        <f ca="1">IF(I293&gt;0,J293*100/I293,0)</f>
        <v>0</v>
      </c>
      <c r="L293" s="165"/>
      <c r="M293" s="165"/>
      <c r="N293" s="165"/>
      <c r="O293" s="165"/>
      <c r="P293" s="165"/>
    </row>
    <row r="294" spans="1:16" ht="19.5" hidden="1" x14ac:dyDescent="0.3">
      <c r="A294" s="167"/>
      <c r="B294" s="168"/>
      <c r="C294" s="168"/>
      <c r="D294" s="174"/>
      <c r="E294" s="370" t="s">
        <v>115</v>
      </c>
      <c r="F294" s="174"/>
      <c r="G294" s="172"/>
      <c r="H294" s="172"/>
      <c r="I294" s="164"/>
      <c r="J294" s="57"/>
      <c r="K294" s="165"/>
      <c r="L294" s="165"/>
      <c r="M294" s="165"/>
      <c r="N294" s="165"/>
      <c r="O294" s="165"/>
      <c r="P294" s="165"/>
    </row>
    <row r="295" spans="1:16" ht="19.5" hidden="1" x14ac:dyDescent="0.3">
      <c r="A295" s="167"/>
      <c r="B295" s="168"/>
      <c r="C295" s="168"/>
      <c r="D295" s="174"/>
      <c r="E295" s="195" t="s">
        <v>116</v>
      </c>
      <c r="F295" s="174"/>
      <c r="G295" s="172"/>
      <c r="H295" s="297" t="s">
        <v>33</v>
      </c>
      <c r="I295" s="184">
        <f ca="1">IFERROR(__xludf.DUMMYFUNCTION("IMPORTRANGE(""https://docs.google.com/spreadsheets/d/1eHaY18a8A9IcSdp1K8H6x8fbOy06t2VsZHhMHf-1x7Y/edit?usp=sharing"",""แผน!ED53"")"),0)</f>
        <v>0</v>
      </c>
      <c r="J295" s="578">
        <v>0</v>
      </c>
      <c r="K295" s="183">
        <f ca="1">IF(I295&gt;0,J295*100/I295,0)</f>
        <v>0</v>
      </c>
      <c r="L295" s="165"/>
      <c r="M295" s="165"/>
      <c r="N295" s="165"/>
      <c r="O295" s="165"/>
      <c r="P295" s="165"/>
    </row>
    <row r="296" spans="1:16" ht="19.5" hidden="1" x14ac:dyDescent="0.3">
      <c r="A296" s="167"/>
      <c r="B296" s="168"/>
      <c r="C296" s="168"/>
      <c r="D296" s="174"/>
      <c r="E296" s="195" t="s">
        <v>117</v>
      </c>
      <c r="F296" s="174"/>
      <c r="G296" s="172"/>
      <c r="H296" s="297" t="s">
        <v>33</v>
      </c>
      <c r="I296" s="184">
        <f ca="1">IFERROR(__xludf.DUMMYFUNCTION("IMPORTRANGE(""https://docs.google.com/spreadsheets/d/1eHaY18a8A9IcSdp1K8H6x8fbOy06t2VsZHhMHf-1x7Y/edit?usp=sharing"",""แผน!ED53"")"),0)</f>
        <v>0</v>
      </c>
      <c r="J296" s="578">
        <v>0</v>
      </c>
      <c r="K296" s="183">
        <f ca="1">IF(I296&gt;0,J296*100/I296,0)</f>
        <v>0</v>
      </c>
      <c r="L296" s="165"/>
      <c r="M296" s="165"/>
      <c r="N296" s="165"/>
      <c r="O296" s="165"/>
      <c r="P296" s="165"/>
    </row>
    <row r="297" spans="1:16" ht="19.5" hidden="1" x14ac:dyDescent="0.3">
      <c r="A297" s="337"/>
      <c r="B297" s="213"/>
      <c r="C297" s="213"/>
      <c r="D297" s="17"/>
      <c r="E297" s="212"/>
      <c r="F297" s="17"/>
      <c r="G297" s="20"/>
      <c r="H297" s="20"/>
      <c r="I297" s="22"/>
      <c r="J297" s="22"/>
      <c r="K297" s="23"/>
      <c r="L297" s="23"/>
      <c r="M297" s="23"/>
      <c r="N297" s="23"/>
      <c r="O297" s="23"/>
      <c r="P297" s="23"/>
    </row>
    <row r="298" spans="1:16" ht="18.75" hidden="1" x14ac:dyDescent="0.25">
      <c r="A298" s="337"/>
      <c r="B298" s="213"/>
      <c r="C298" s="213"/>
      <c r="D298" s="17"/>
      <c r="E298" s="25"/>
      <c r="F298" s="17"/>
      <c r="G298" s="20"/>
      <c r="H298" s="26"/>
      <c r="I298" s="339"/>
      <c r="J298" s="339"/>
      <c r="K298" s="27"/>
      <c r="L298" s="23"/>
      <c r="M298" s="23"/>
      <c r="N298" s="23"/>
      <c r="O298" s="23"/>
      <c r="P298" s="23"/>
    </row>
    <row r="299" spans="1:16" ht="18.75" hidden="1" x14ac:dyDescent="0.25">
      <c r="A299" s="371"/>
      <c r="B299" s="372"/>
      <c r="C299" s="372"/>
      <c r="D299" s="373"/>
      <c r="E299" s="374"/>
      <c r="F299" s="373"/>
      <c r="G299" s="375"/>
      <c r="H299" s="376"/>
      <c r="I299" s="377"/>
      <c r="J299" s="377"/>
      <c r="K299" s="378"/>
      <c r="L299" s="379"/>
      <c r="M299" s="379"/>
      <c r="N299" s="379"/>
      <c r="O299" s="379"/>
      <c r="P299" s="379"/>
    </row>
    <row r="300" spans="1:16" ht="19.5" x14ac:dyDescent="0.3">
      <c r="A300" s="380" t="s">
        <v>118</v>
      </c>
      <c r="B300" s="381"/>
      <c r="C300" s="381"/>
      <c r="D300" s="381"/>
      <c r="E300" s="382"/>
      <c r="F300" s="382"/>
      <c r="G300" s="382"/>
      <c r="H300" s="382"/>
      <c r="I300" s="383"/>
      <c r="J300" s="383"/>
      <c r="K300" s="384"/>
      <c r="L300" s="384"/>
      <c r="M300" s="384"/>
      <c r="N300" s="384"/>
      <c r="O300" s="384"/>
      <c r="P300" s="385"/>
    </row>
    <row r="301" spans="1:16" ht="19.5" hidden="1" x14ac:dyDescent="0.3">
      <c r="A301" s="386" t="s">
        <v>119</v>
      </c>
      <c r="B301" s="387"/>
      <c r="C301" s="387"/>
      <c r="D301" s="388"/>
      <c r="E301" s="388"/>
      <c r="F301" s="388"/>
      <c r="G301" s="389"/>
      <c r="H301" s="389"/>
      <c r="I301" s="390"/>
      <c r="J301" s="390"/>
      <c r="K301" s="391"/>
      <c r="L301" s="391"/>
      <c r="M301" s="391"/>
      <c r="N301" s="391"/>
      <c r="O301" s="391"/>
      <c r="P301" s="391"/>
    </row>
    <row r="302" spans="1:16" ht="19.5" hidden="1" x14ac:dyDescent="0.3">
      <c r="A302" s="392"/>
      <c r="B302" s="393" t="s">
        <v>120</v>
      </c>
      <c r="C302" s="394"/>
      <c r="D302" s="394"/>
      <c r="E302" s="394"/>
      <c r="F302" s="394"/>
      <c r="G302" s="395"/>
      <c r="H302" s="396" t="s">
        <v>33</v>
      </c>
      <c r="I302" s="397">
        <f ca="1">I314</f>
        <v>0</v>
      </c>
      <c r="J302" s="397">
        <f>J314</f>
        <v>0</v>
      </c>
      <c r="K302" s="398">
        <f ca="1">IF(I302&gt;0,J302*100/I302,0)</f>
        <v>0</v>
      </c>
      <c r="L302" s="399"/>
      <c r="M302" s="399"/>
      <c r="N302" s="399"/>
      <c r="O302" s="399"/>
      <c r="P302" s="399"/>
    </row>
    <row r="303" spans="1:16" ht="19.5" hidden="1" x14ac:dyDescent="0.3">
      <c r="A303" s="157"/>
      <c r="B303" s="53"/>
      <c r="C303" s="158" t="s">
        <v>16</v>
      </c>
      <c r="D303" s="574" t="s">
        <v>17</v>
      </c>
      <c r="E303" s="53"/>
      <c r="F303" s="53"/>
      <c r="G303" s="55"/>
      <c r="H303" s="160" t="s">
        <v>12</v>
      </c>
      <c r="I303" s="57"/>
      <c r="J303" s="57"/>
      <c r="K303" s="58"/>
      <c r="L303" s="161">
        <f ca="1">L304+L305</f>
        <v>0</v>
      </c>
      <c r="M303" s="161">
        <f ca="1">M304+M305</f>
        <v>0</v>
      </c>
      <c r="N303" s="161">
        <f ca="1">N304+N305</f>
        <v>0</v>
      </c>
      <c r="O303" s="161">
        <f ca="1">IF(L303&gt;0,N303*100/L303,0)</f>
        <v>0</v>
      </c>
      <c r="P303" s="161">
        <f ca="1">IF(M303&gt;0,N303*100/M303,0)</f>
        <v>0</v>
      </c>
    </row>
    <row r="304" spans="1:16" ht="18.75" hidden="1" x14ac:dyDescent="0.25">
      <c r="A304" s="541"/>
      <c r="B304" s="526"/>
      <c r="C304" s="526"/>
      <c r="D304" s="526"/>
      <c r="E304" s="540" t="s">
        <v>18</v>
      </c>
      <c r="F304" s="526"/>
      <c r="G304" s="525"/>
      <c r="H304" s="544" t="s">
        <v>12</v>
      </c>
      <c r="I304" s="199"/>
      <c r="J304" s="199"/>
      <c r="K304" s="521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157"/>
      <c r="B305" s="53"/>
      <c r="C305" s="53"/>
      <c r="D305" s="53"/>
      <c r="E305" s="336" t="s">
        <v>19</v>
      </c>
      <c r="F305" s="53"/>
      <c r="G305" s="55"/>
      <c r="H305" s="162" t="s">
        <v>12</v>
      </c>
      <c r="I305" s="57"/>
      <c r="J305" s="57"/>
      <c r="K305" s="58"/>
      <c r="L305" s="61">
        <f ca="1">L308+L311</f>
        <v>0</v>
      </c>
      <c r="M305" s="61">
        <f ca="1">M308+M311</f>
        <v>0</v>
      </c>
      <c r="N305" s="61">
        <f ca="1">N308+N311</f>
        <v>0</v>
      </c>
      <c r="O305" s="61">
        <f ca="1">IF(L305&gt;0,N305*100/L305,0)</f>
        <v>0</v>
      </c>
      <c r="P305" s="61">
        <f ca="1">IF(M305&gt;0,N305*100/M305,0)</f>
        <v>0</v>
      </c>
    </row>
    <row r="306" spans="1:16" ht="18.75" hidden="1" x14ac:dyDescent="0.25">
      <c r="A306" s="157"/>
      <c r="B306" s="53"/>
      <c r="C306" s="53"/>
      <c r="D306" s="573" t="s">
        <v>20</v>
      </c>
      <c r="E306" s="53"/>
      <c r="F306" s="53"/>
      <c r="G306" s="55"/>
      <c r="H306" s="163" t="s">
        <v>12</v>
      </c>
      <c r="I306" s="164"/>
      <c r="J306" s="164"/>
      <c r="K306" s="165"/>
      <c r="L306" s="61">
        <f ca="1">L307+L308</f>
        <v>0</v>
      </c>
      <c r="M306" s="61">
        <f ca="1">M307+M308</f>
        <v>0</v>
      </c>
      <c r="N306" s="61">
        <f ca="1">N307+N308</f>
        <v>0</v>
      </c>
      <c r="O306" s="61">
        <f ca="1">IF(L306&gt;0,N306*100/L306,0)</f>
        <v>0</v>
      </c>
      <c r="P306" s="61">
        <f ca="1">IF(M306&gt;0,N306*100/M306,0)</f>
        <v>0</v>
      </c>
    </row>
    <row r="307" spans="1:16" ht="18.75" hidden="1" x14ac:dyDescent="0.25">
      <c r="A307" s="541"/>
      <c r="B307" s="526"/>
      <c r="C307" s="526"/>
      <c r="D307" s="526"/>
      <c r="E307" s="540" t="s">
        <v>34</v>
      </c>
      <c r="F307" s="526"/>
      <c r="G307" s="525"/>
      <c r="H307" s="542" t="s">
        <v>12</v>
      </c>
      <c r="I307" s="532"/>
      <c r="J307" s="532"/>
      <c r="K307" s="531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157"/>
      <c r="B308" s="53"/>
      <c r="C308" s="53"/>
      <c r="D308" s="53"/>
      <c r="E308" s="336" t="s">
        <v>35</v>
      </c>
      <c r="F308" s="53"/>
      <c r="G308" s="55"/>
      <c r="H308" s="163" t="s">
        <v>12</v>
      </c>
      <c r="I308" s="164"/>
      <c r="J308" s="164"/>
      <c r="K308" s="165"/>
      <c r="L308" s="61">
        <f ca="1">IFERROR(__xludf.DUMMYFUNCTION("IMPORTRANGE(""https://docs.google.com/spreadsheets/d/1-uDff_7J0KD5mKrp0Vvzr7lt3OU09vwQwhkpOPPYv2Y/edit?usp=sharing"",""งบพรบ!DY53"")"),0)</f>
        <v>0</v>
      </c>
      <c r="M308" s="61">
        <f ca="1">IFERROR(__xludf.DUMMYFUNCTION("IMPORTRANGE(""https://docs.google.com/spreadsheets/d/1-uDff_7J0KD5mKrp0Vvzr7lt3OU09vwQwhkpOPPYv2Y/edit?usp=sharing"",""งบพรบ!ED53"")"),0)</f>
        <v>0</v>
      </c>
      <c r="N308" s="61">
        <f ca="1">IFERROR(__xludf.DUMMYFUNCTION("IMPORTRANGE(""https://docs.google.com/spreadsheets/d/1-uDff_7J0KD5mKrp0Vvzr7lt3OU09vwQwhkpOPPYv2Y/edit?usp=sharing"",""งบพรบ!EF53"")"),0)</f>
        <v>0</v>
      </c>
      <c r="O308" s="61">
        <f ca="1">IF(L308&gt;0,N308*100/L308,0)</f>
        <v>0</v>
      </c>
      <c r="P308" s="61">
        <f ca="1">IF(M308&gt;0,N308*100/M308,0)</f>
        <v>0</v>
      </c>
    </row>
    <row r="309" spans="1:16" ht="18.75" hidden="1" x14ac:dyDescent="0.25">
      <c r="A309" s="157"/>
      <c r="B309" s="53"/>
      <c r="C309" s="53"/>
      <c r="D309" s="573" t="s">
        <v>21</v>
      </c>
      <c r="E309" s="53"/>
      <c r="F309" s="53"/>
      <c r="G309" s="55"/>
      <c r="H309" s="166" t="s">
        <v>12</v>
      </c>
      <c r="I309" s="164"/>
      <c r="J309" s="164"/>
      <c r="K309" s="165"/>
      <c r="L309" s="61">
        <f ca="1">L310+L311</f>
        <v>0</v>
      </c>
      <c r="M309" s="61">
        <f ca="1">M310+M311</f>
        <v>0</v>
      </c>
      <c r="N309" s="61">
        <f ca="1">N310+N311</f>
        <v>0</v>
      </c>
      <c r="O309" s="61">
        <f ca="1">IF(L309&gt;0,N309*100/L309,0)</f>
        <v>0</v>
      </c>
      <c r="P309" s="61">
        <f ca="1">IF(M309&gt;0,N309*100/M309,0)</f>
        <v>0</v>
      </c>
    </row>
    <row r="310" spans="1:16" ht="18.75" hidden="1" x14ac:dyDescent="0.25">
      <c r="A310" s="541"/>
      <c r="B310" s="526"/>
      <c r="C310" s="526"/>
      <c r="D310" s="526"/>
      <c r="E310" s="540" t="s">
        <v>18</v>
      </c>
      <c r="F310" s="526"/>
      <c r="G310" s="525"/>
      <c r="H310" s="542" t="s">
        <v>12</v>
      </c>
      <c r="I310" s="532"/>
      <c r="J310" s="532"/>
      <c r="K310" s="531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157"/>
      <c r="B311" s="53"/>
      <c r="C311" s="53"/>
      <c r="D311" s="53"/>
      <c r="E311" s="336" t="s">
        <v>19</v>
      </c>
      <c r="F311" s="53"/>
      <c r="G311" s="55"/>
      <c r="H311" s="166" t="s">
        <v>12</v>
      </c>
      <c r="I311" s="164"/>
      <c r="J311" s="164"/>
      <c r="K311" s="165"/>
      <c r="L311" s="61">
        <f ca="1">IFERROR(__xludf.DUMMYFUNCTION("IMPORTRANGE(""https://docs.google.com/spreadsheets/d/1-uDff_7J0KD5mKrp0Vvzr7lt3OU09vwQwhkpOPPYv2Y/edit?usp=sharing"",""งบพรบ!EB53"")"),0)</f>
        <v>0</v>
      </c>
      <c r="M311" s="61">
        <f ca="1">IFERROR(__xludf.DUMMYFUNCTION("IMPORTRANGE(""https://docs.google.com/spreadsheets/d/1-uDff_7J0KD5mKrp0Vvzr7lt3OU09vwQwhkpOPPYv2Y/edit?usp=sharing"",""งบพรบ!EE53"")"),0)</f>
        <v>0</v>
      </c>
      <c r="N311" s="61">
        <f ca="1">IFERROR(__xludf.DUMMYFUNCTION("IMPORTRANGE(""https://docs.google.com/spreadsheets/d/1-uDff_7J0KD5mKrp0Vvzr7lt3OU09vwQwhkpOPPYv2Y/edit?usp=sharing"",""งบพรบ!EG53"")"),0)</f>
        <v>0</v>
      </c>
      <c r="O311" s="61">
        <f ca="1">IF(L311&gt;0,N311*100/L311,0)</f>
        <v>0</v>
      </c>
      <c r="P311" s="61">
        <f ca="1">IF(M311&gt;0,N311*100/M311,0)</f>
        <v>0</v>
      </c>
    </row>
    <row r="312" spans="1:16" ht="19.5" hidden="1" x14ac:dyDescent="0.3">
      <c r="A312" s="167"/>
      <c r="B312" s="168"/>
      <c r="C312" s="158" t="s">
        <v>16</v>
      </c>
      <c r="D312" s="571" t="s">
        <v>36</v>
      </c>
      <c r="E312" s="170"/>
      <c r="F312" s="170"/>
      <c r="G312" s="171"/>
      <c r="H312" s="172"/>
      <c r="I312" s="57"/>
      <c r="J312" s="57"/>
      <c r="K312" s="58"/>
      <c r="L312" s="58"/>
      <c r="M312" s="58"/>
      <c r="N312" s="58"/>
      <c r="O312" s="58"/>
      <c r="P312" s="58"/>
    </row>
    <row r="313" spans="1:16" ht="18.75" hidden="1" x14ac:dyDescent="0.25">
      <c r="A313" s="167"/>
      <c r="B313" s="168"/>
      <c r="C313" s="168"/>
      <c r="D313" s="195" t="s">
        <v>121</v>
      </c>
      <c r="E313" s="174"/>
      <c r="F313" s="174"/>
      <c r="G313" s="172"/>
      <c r="H313" s="172"/>
      <c r="I313" s="57"/>
      <c r="J313" s="578">
        <v>0</v>
      </c>
      <c r="K313" s="58"/>
      <c r="L313" s="58"/>
      <c r="M313" s="58"/>
      <c r="N313" s="58"/>
      <c r="O313" s="58"/>
      <c r="P313" s="58"/>
    </row>
    <row r="314" spans="1:16" ht="18.75" hidden="1" x14ac:dyDescent="0.25">
      <c r="A314" s="167"/>
      <c r="B314" s="168"/>
      <c r="C314" s="168"/>
      <c r="D314" s="195" t="s">
        <v>114</v>
      </c>
      <c r="E314" s="174"/>
      <c r="F314" s="174"/>
      <c r="G314" s="172"/>
      <c r="H314" s="297" t="s">
        <v>33</v>
      </c>
      <c r="I314" s="196">
        <f ca="1">IFERROR(__xludf.DUMMYFUNCTION("IMPORTRANGE(""https://docs.google.com/spreadsheets/d/1eHaY18a8A9IcSdp1K8H6x8fbOy06t2VsZHhMHf-1x7Y/edit?usp=sharing"",""แผน!EF53"")"),0)</f>
        <v>0</v>
      </c>
      <c r="J314" s="578">
        <v>0</v>
      </c>
      <c r="K314" s="61">
        <f ca="1">IF(I314&gt;0,J314*100/I314,0)</f>
        <v>0</v>
      </c>
      <c r="L314" s="58"/>
      <c r="M314" s="58"/>
      <c r="N314" s="58"/>
      <c r="O314" s="58"/>
      <c r="P314" s="58"/>
    </row>
    <row r="315" spans="1:16" ht="18.75" hidden="1" x14ac:dyDescent="0.25">
      <c r="A315" s="167"/>
      <c r="B315" s="168"/>
      <c r="C315" s="168"/>
      <c r="D315" s="195" t="s">
        <v>122</v>
      </c>
      <c r="E315" s="174"/>
      <c r="F315" s="174"/>
      <c r="G315" s="172"/>
      <c r="H315" s="297" t="s">
        <v>33</v>
      </c>
      <c r="I315" s="196">
        <f ca="1">IFERROR(__xludf.DUMMYFUNCTION("IMPORTRANGE(""https://docs.google.com/spreadsheets/d/1eHaY18a8A9IcSdp1K8H6x8fbOy06t2VsZHhMHf-1x7Y/edit?usp=sharing"",""แผน!EG53"")"),0)</f>
        <v>0</v>
      </c>
      <c r="J315" s="578">
        <v>0</v>
      </c>
      <c r="K315" s="61">
        <f ca="1">IF(I315&gt;0,J315*100/I315,0)</f>
        <v>0</v>
      </c>
      <c r="L315" s="58"/>
      <c r="M315" s="58"/>
      <c r="N315" s="58"/>
      <c r="O315" s="58"/>
      <c r="P315" s="58"/>
    </row>
    <row r="316" spans="1:16" ht="18.75" hidden="1" x14ac:dyDescent="0.25">
      <c r="A316" s="167"/>
      <c r="B316" s="168"/>
      <c r="C316" s="168"/>
      <c r="D316" s="195" t="s">
        <v>48</v>
      </c>
      <c r="E316" s="174"/>
      <c r="F316" s="174"/>
      <c r="G316" s="172"/>
      <c r="H316" s="297" t="s">
        <v>33</v>
      </c>
      <c r="I316" s="196">
        <f ca="1">IFERROR(__xludf.DUMMYFUNCTION("IMPORTRANGE(""https://docs.google.com/spreadsheets/d/1eHaY18a8A9IcSdp1K8H6x8fbOy06t2VsZHhMHf-1x7Y/edit?usp=sharing"",""แผน!EH53"")"),0)</f>
        <v>0</v>
      </c>
      <c r="J316" s="578">
        <v>0</v>
      </c>
      <c r="K316" s="61">
        <f ca="1">IF(I316&gt;0,J316*100/I316,0)</f>
        <v>0</v>
      </c>
      <c r="L316" s="58"/>
      <c r="M316" s="58"/>
      <c r="N316" s="58"/>
      <c r="O316" s="58"/>
      <c r="P316" s="58"/>
    </row>
    <row r="317" spans="1:16" ht="18.75" hidden="1" x14ac:dyDescent="0.25">
      <c r="A317" s="530"/>
      <c r="B317" s="529"/>
      <c r="C317" s="529"/>
      <c r="D317" s="540" t="s">
        <v>123</v>
      </c>
      <c r="E317" s="526"/>
      <c r="F317" s="526"/>
      <c r="G317" s="525"/>
      <c r="H317" s="579" t="s">
        <v>33</v>
      </c>
      <c r="I317" s="201">
        <f ca="1">IFERROR(__xludf.DUMMYFUNCTION("IMPORTRANGE(""https://docs.google.com/spreadsheets/d/1eHaY18a8A9IcSdp1K8H6x8fbOy06t2VsZHhMHf-1x7Y/edit?usp=sharing"",""แผน!EI53"")"),0)</f>
        <v>0</v>
      </c>
      <c r="J317" s="201">
        <v>0</v>
      </c>
      <c r="K317" s="522">
        <f ca="1">IF(I317&gt;0,J317*100/I317,0)</f>
        <v>0</v>
      </c>
      <c r="L317" s="521"/>
      <c r="M317" s="521"/>
      <c r="N317" s="521"/>
      <c r="O317" s="521"/>
      <c r="P317" s="521"/>
    </row>
    <row r="318" spans="1:16" ht="19.5" x14ac:dyDescent="0.3">
      <c r="A318" s="386" t="s">
        <v>124</v>
      </c>
      <c r="B318" s="387"/>
      <c r="C318" s="387"/>
      <c r="D318" s="388"/>
      <c r="E318" s="387"/>
      <c r="F318" s="387"/>
      <c r="G318" s="387"/>
      <c r="H318" s="388"/>
      <c r="I318" s="390"/>
      <c r="J318" s="390"/>
      <c r="K318" s="391"/>
      <c r="L318" s="391"/>
      <c r="M318" s="391"/>
      <c r="N318" s="391"/>
      <c r="O318" s="391"/>
      <c r="P318" s="391"/>
    </row>
    <row r="319" spans="1:16" ht="19.5" x14ac:dyDescent="0.3">
      <c r="A319" s="400"/>
      <c r="B319" s="393" t="s">
        <v>125</v>
      </c>
      <c r="C319" s="401"/>
      <c r="D319" s="402"/>
      <c r="E319" s="394"/>
      <c r="F319" s="394"/>
      <c r="G319" s="395"/>
      <c r="H319" s="396" t="s">
        <v>126</v>
      </c>
      <c r="I319" s="397">
        <f ca="1">I330</f>
        <v>1</v>
      </c>
      <c r="J319" s="397">
        <f>J330</f>
        <v>1</v>
      </c>
      <c r="K319" s="398">
        <f ca="1">IF(I319&gt;0,J319*100/I319,0)</f>
        <v>100</v>
      </c>
      <c r="L319" s="399"/>
      <c r="M319" s="399"/>
      <c r="N319" s="399"/>
      <c r="O319" s="399"/>
      <c r="P319" s="399"/>
    </row>
    <row r="320" spans="1:16" ht="19.5" x14ac:dyDescent="0.3">
      <c r="A320" s="157"/>
      <c r="B320" s="53"/>
      <c r="C320" s="158" t="s">
        <v>16</v>
      </c>
      <c r="D320" s="574" t="s">
        <v>17</v>
      </c>
      <c r="E320" s="53"/>
      <c r="F320" s="53"/>
      <c r="G320" s="55"/>
      <c r="H320" s="160" t="s">
        <v>12</v>
      </c>
      <c r="I320" s="57"/>
      <c r="J320" s="57"/>
      <c r="K320" s="58"/>
      <c r="L320" s="161">
        <f ca="1">L321+L322</f>
        <v>20000</v>
      </c>
      <c r="M320" s="161">
        <f ca="1">M321+M322</f>
        <v>20000</v>
      </c>
      <c r="N320" s="161">
        <f ca="1">N321+N322</f>
        <v>0</v>
      </c>
      <c r="O320" s="161">
        <f ca="1">IF(L320&gt;0,N320*100/L320,0)</f>
        <v>0</v>
      </c>
      <c r="P320" s="161">
        <f ca="1">IF(M320&gt;0,N320*100/M320,0)</f>
        <v>0</v>
      </c>
    </row>
    <row r="321" spans="1:16" ht="18.75" hidden="1" x14ac:dyDescent="0.25">
      <c r="A321" s="541"/>
      <c r="B321" s="526"/>
      <c r="C321" s="526"/>
      <c r="D321" s="526"/>
      <c r="E321" s="540" t="s">
        <v>18</v>
      </c>
      <c r="F321" s="526"/>
      <c r="G321" s="525"/>
      <c r="H321" s="544" t="s">
        <v>12</v>
      </c>
      <c r="I321" s="199"/>
      <c r="J321" s="199"/>
      <c r="K321" s="521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x14ac:dyDescent="0.25">
      <c r="A322" s="157"/>
      <c r="B322" s="53"/>
      <c r="C322" s="53"/>
      <c r="D322" s="53"/>
      <c r="E322" s="336" t="s">
        <v>19</v>
      </c>
      <c r="F322" s="53"/>
      <c r="G322" s="55"/>
      <c r="H322" s="162" t="s">
        <v>12</v>
      </c>
      <c r="I322" s="57"/>
      <c r="J322" s="57"/>
      <c r="K322" s="58"/>
      <c r="L322" s="61">
        <f ca="1">L325+L328</f>
        <v>20000</v>
      </c>
      <c r="M322" s="61">
        <f ca="1">M325+M328</f>
        <v>20000</v>
      </c>
      <c r="N322" s="61">
        <f ca="1">N325+N328</f>
        <v>0</v>
      </c>
      <c r="O322" s="61">
        <f ca="1">IF(L322&gt;0,N322*100/L322,0)</f>
        <v>0</v>
      </c>
      <c r="P322" s="61">
        <f ca="1">IF(M322&gt;0,N322*100/M322,0)</f>
        <v>0</v>
      </c>
    </row>
    <row r="323" spans="1:16" ht="18.75" x14ac:dyDescent="0.25">
      <c r="A323" s="157"/>
      <c r="B323" s="53"/>
      <c r="C323" s="53"/>
      <c r="D323" s="573" t="s">
        <v>20</v>
      </c>
      <c r="E323" s="53"/>
      <c r="F323" s="53"/>
      <c r="G323" s="55"/>
      <c r="H323" s="163" t="s">
        <v>12</v>
      </c>
      <c r="I323" s="164"/>
      <c r="J323" s="164"/>
      <c r="K323" s="165"/>
      <c r="L323" s="61">
        <f ca="1">L324+L325</f>
        <v>20000</v>
      </c>
      <c r="M323" s="61">
        <f ca="1">M324+M325</f>
        <v>20000</v>
      </c>
      <c r="N323" s="61">
        <f ca="1">N324+N325</f>
        <v>0</v>
      </c>
      <c r="O323" s="61">
        <f ca="1">IF(L323&gt;0,N323*100/L323,0)</f>
        <v>0</v>
      </c>
      <c r="P323" s="61">
        <f ca="1">IF(M323&gt;0,N323*100/M323,0)</f>
        <v>0</v>
      </c>
    </row>
    <row r="324" spans="1:16" ht="18.75" hidden="1" x14ac:dyDescent="0.25">
      <c r="A324" s="541"/>
      <c r="B324" s="526"/>
      <c r="C324" s="526"/>
      <c r="D324" s="526"/>
      <c r="E324" s="540" t="s">
        <v>34</v>
      </c>
      <c r="F324" s="526"/>
      <c r="G324" s="525"/>
      <c r="H324" s="542" t="s">
        <v>12</v>
      </c>
      <c r="I324" s="532"/>
      <c r="J324" s="532"/>
      <c r="K324" s="531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x14ac:dyDescent="0.25">
      <c r="A325" s="157"/>
      <c r="B325" s="53"/>
      <c r="C325" s="53"/>
      <c r="D325" s="53"/>
      <c r="E325" s="336" t="s">
        <v>35</v>
      </c>
      <c r="F325" s="53"/>
      <c r="G325" s="55"/>
      <c r="H325" s="163" t="s">
        <v>12</v>
      </c>
      <c r="I325" s="164"/>
      <c r="J325" s="164"/>
      <c r="K325" s="165"/>
      <c r="L325" s="61">
        <f ca="1">IFERROR(__xludf.DUMMYFUNCTION("IMPORTRANGE(""https://docs.google.com/spreadsheets/d/1-uDff_7J0KD5mKrp0Vvzr7lt3OU09vwQwhkpOPPYv2Y/edit?usp=sharing"",""งบพรบ!EI53"")"),20000)</f>
        <v>20000</v>
      </c>
      <c r="M325" s="61">
        <f ca="1">IFERROR(__xludf.DUMMYFUNCTION("IMPORTRANGE(""https://docs.google.com/spreadsheets/d/1-uDff_7J0KD5mKrp0Vvzr7lt3OU09vwQwhkpOPPYv2Y/edit?usp=sharing"",""งบพรบ!EN53"")"),20000)</f>
        <v>20000</v>
      </c>
      <c r="N325" s="61">
        <f ca="1">IFERROR(__xludf.DUMMYFUNCTION("IMPORTRANGE(""https://docs.google.com/spreadsheets/d/1-uDff_7J0KD5mKrp0Vvzr7lt3OU09vwQwhkpOPPYv2Y/edit?usp=sharing"",""งบพรบ!EP53"")"),0)</f>
        <v>0</v>
      </c>
      <c r="O325" s="61">
        <f ca="1">IF(L325&gt;0,N325*100/L325,0)</f>
        <v>0</v>
      </c>
      <c r="P325" s="61">
        <f ca="1">IF(M325&gt;0,N325*100/M325,0)</f>
        <v>0</v>
      </c>
    </row>
    <row r="326" spans="1:16" ht="18.75" x14ac:dyDescent="0.25">
      <c r="A326" s="157"/>
      <c r="B326" s="53"/>
      <c r="C326" s="53"/>
      <c r="D326" s="573" t="s">
        <v>21</v>
      </c>
      <c r="E326" s="53"/>
      <c r="F326" s="53"/>
      <c r="G326" s="55"/>
      <c r="H326" s="166" t="s">
        <v>12</v>
      </c>
      <c r="I326" s="164"/>
      <c r="J326" s="164"/>
      <c r="K326" s="165"/>
      <c r="L326" s="61">
        <f ca="1">L327+L328</f>
        <v>0</v>
      </c>
      <c r="M326" s="61">
        <f ca="1">M327+M328</f>
        <v>0</v>
      </c>
      <c r="N326" s="61">
        <f ca="1">N327+N328</f>
        <v>0</v>
      </c>
      <c r="O326" s="61">
        <f ca="1">IF(L326&gt;0,N326*100/L326,0)</f>
        <v>0</v>
      </c>
      <c r="P326" s="61">
        <f ca="1">IF(M326&gt;0,N326*100/M326,0)</f>
        <v>0</v>
      </c>
    </row>
    <row r="327" spans="1:16" ht="18.75" hidden="1" x14ac:dyDescent="0.25">
      <c r="A327" s="541"/>
      <c r="B327" s="526"/>
      <c r="C327" s="526"/>
      <c r="D327" s="526"/>
      <c r="E327" s="540" t="s">
        <v>18</v>
      </c>
      <c r="F327" s="526"/>
      <c r="G327" s="525"/>
      <c r="H327" s="542" t="s">
        <v>12</v>
      </c>
      <c r="I327" s="532"/>
      <c r="J327" s="532"/>
      <c r="K327" s="531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x14ac:dyDescent="0.25">
      <c r="A328" s="157"/>
      <c r="B328" s="53"/>
      <c r="C328" s="53"/>
      <c r="D328" s="53"/>
      <c r="E328" s="336" t="s">
        <v>19</v>
      </c>
      <c r="F328" s="53"/>
      <c r="G328" s="55"/>
      <c r="H328" s="166" t="s">
        <v>12</v>
      </c>
      <c r="I328" s="164"/>
      <c r="J328" s="164"/>
      <c r="K328" s="165"/>
      <c r="L328" s="61">
        <f ca="1">IFERROR(__xludf.DUMMYFUNCTION("IMPORTRANGE(""https://docs.google.com/spreadsheets/d/1-uDff_7J0KD5mKrp0Vvzr7lt3OU09vwQwhkpOPPYv2Y/edit?usp=sharing"",""งบพรบ!EL53"")"),0)</f>
        <v>0</v>
      </c>
      <c r="M328" s="61">
        <f ca="1">IFERROR(__xludf.DUMMYFUNCTION("IMPORTRANGE(""https://docs.google.com/spreadsheets/d/1-uDff_7J0KD5mKrp0Vvzr7lt3OU09vwQwhkpOPPYv2Y/edit?usp=sharing"",""งบพรบ!EO53"")"),0)</f>
        <v>0</v>
      </c>
      <c r="N328" s="61">
        <f ca="1">IFERROR(__xludf.DUMMYFUNCTION("IMPORTRANGE(""https://docs.google.com/spreadsheets/d/1-uDff_7J0KD5mKrp0Vvzr7lt3OU09vwQwhkpOPPYv2Y/edit?usp=sharing"",""งบพรบ!EQ53"")"),0)</f>
        <v>0</v>
      </c>
      <c r="O328" s="61">
        <f ca="1">IF(L328&gt;0,N328*100/L328,0)</f>
        <v>0</v>
      </c>
      <c r="P328" s="61">
        <f ca="1">IF(M328&gt;0,N328*100/M328,0)</f>
        <v>0</v>
      </c>
    </row>
    <row r="329" spans="1:16" ht="19.5" x14ac:dyDescent="0.3">
      <c r="A329" s="167"/>
      <c r="B329" s="168"/>
      <c r="C329" s="158" t="s">
        <v>16</v>
      </c>
      <c r="D329" s="571" t="s">
        <v>36</v>
      </c>
      <c r="E329" s="170"/>
      <c r="F329" s="170"/>
      <c r="G329" s="171"/>
      <c r="H329" s="172"/>
      <c r="I329" s="164"/>
      <c r="J329" s="57"/>
      <c r="K329" s="58"/>
      <c r="L329" s="58"/>
      <c r="M329" s="58"/>
      <c r="N329" s="58"/>
      <c r="O329" s="165"/>
      <c r="P329" s="165"/>
    </row>
    <row r="330" spans="1:16" ht="18.75" x14ac:dyDescent="0.25">
      <c r="A330" s="167"/>
      <c r="B330" s="168"/>
      <c r="C330" s="168"/>
      <c r="D330" s="449" t="s">
        <v>127</v>
      </c>
      <c r="E330" s="174"/>
      <c r="F330" s="174"/>
      <c r="G330" s="172"/>
      <c r="H330" s="56" t="s">
        <v>126</v>
      </c>
      <c r="I330" s="196">
        <f ca="1">IFERROR(__xludf.DUMMYFUNCTION("IMPORTRANGE(""https://docs.google.com/spreadsheets/d/1eHaY18a8A9IcSdp1K8H6x8fbOy06t2VsZHhMHf-1x7Y/edit?usp=sharing"",""แผน!EJ53"")"),1)</f>
        <v>1</v>
      </c>
      <c r="J330" s="578">
        <v>1</v>
      </c>
      <c r="K330" s="61">
        <f ca="1">IF(I330&gt;0,J330*100/I330,0)</f>
        <v>100</v>
      </c>
      <c r="L330" s="58"/>
      <c r="M330" s="58"/>
      <c r="N330" s="58"/>
      <c r="O330" s="165"/>
      <c r="P330" s="165"/>
    </row>
    <row r="331" spans="1:16" ht="19.5" x14ac:dyDescent="0.3">
      <c r="A331" s="386" t="s">
        <v>128</v>
      </c>
      <c r="B331" s="387"/>
      <c r="C331" s="387"/>
      <c r="D331" s="388"/>
      <c r="E331" s="387"/>
      <c r="F331" s="387"/>
      <c r="G331" s="387"/>
      <c r="H331" s="388"/>
      <c r="I331" s="390"/>
      <c r="J331" s="390"/>
      <c r="K331" s="391"/>
      <c r="L331" s="391"/>
      <c r="M331" s="391"/>
      <c r="N331" s="391"/>
      <c r="O331" s="391"/>
      <c r="P331" s="391"/>
    </row>
    <row r="332" spans="1:16" ht="19.5" x14ac:dyDescent="0.3">
      <c r="A332" s="392"/>
      <c r="B332" s="393" t="s">
        <v>129</v>
      </c>
      <c r="C332" s="402"/>
      <c r="D332" s="394"/>
      <c r="E332" s="394"/>
      <c r="F332" s="394"/>
      <c r="G332" s="395"/>
      <c r="H332" s="396" t="s">
        <v>33</v>
      </c>
      <c r="I332" s="403">
        <f ca="1">I344</f>
        <v>1060</v>
      </c>
      <c r="J332" s="404">
        <f ca="1">J344+J347+J348+J349+J353</f>
        <v>1463</v>
      </c>
      <c r="K332" s="405">
        <f ca="1">IF(I332&gt;0,J332*100/I332,0)</f>
        <v>138.01886792452831</v>
      </c>
      <c r="L332" s="399"/>
      <c r="M332" s="399"/>
      <c r="N332" s="399"/>
      <c r="O332" s="399"/>
      <c r="P332" s="399"/>
    </row>
    <row r="333" spans="1:16" ht="19.5" x14ac:dyDescent="0.3">
      <c r="A333" s="157"/>
      <c r="B333" s="53"/>
      <c r="C333" s="158" t="s">
        <v>16</v>
      </c>
      <c r="D333" s="574" t="s">
        <v>17</v>
      </c>
      <c r="E333" s="53"/>
      <c r="F333" s="53"/>
      <c r="G333" s="55"/>
      <c r="H333" s="160" t="s">
        <v>12</v>
      </c>
      <c r="I333" s="57"/>
      <c r="J333" s="57"/>
      <c r="K333" s="58"/>
      <c r="L333" s="161">
        <f ca="1">L334+L335</f>
        <v>106000</v>
      </c>
      <c r="M333" s="161">
        <f ca="1">M334+M335</f>
        <v>85750</v>
      </c>
      <c r="N333" s="161">
        <f ca="1">N334+N335</f>
        <v>28415</v>
      </c>
      <c r="O333" s="161">
        <f ca="1">IF(L333&gt;0,N333*100/L333,0)</f>
        <v>26.806603773584907</v>
      </c>
      <c r="P333" s="161">
        <f ca="1">IF(M333&gt;0,N333*100/M333,0)</f>
        <v>33.137026239067055</v>
      </c>
    </row>
    <row r="334" spans="1:16" ht="18.75" hidden="1" x14ac:dyDescent="0.25">
      <c r="A334" s="541"/>
      <c r="B334" s="526"/>
      <c r="C334" s="526"/>
      <c r="D334" s="526"/>
      <c r="E334" s="540" t="s">
        <v>18</v>
      </c>
      <c r="F334" s="526"/>
      <c r="G334" s="525"/>
      <c r="H334" s="544" t="s">
        <v>12</v>
      </c>
      <c r="I334" s="199"/>
      <c r="J334" s="199"/>
      <c r="K334" s="521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157"/>
      <c r="B335" s="53"/>
      <c r="C335" s="53"/>
      <c r="D335" s="53"/>
      <c r="E335" s="336" t="s">
        <v>19</v>
      </c>
      <c r="F335" s="53"/>
      <c r="G335" s="55"/>
      <c r="H335" s="162" t="s">
        <v>12</v>
      </c>
      <c r="I335" s="57"/>
      <c r="J335" s="57"/>
      <c r="K335" s="58"/>
      <c r="L335" s="61">
        <f ca="1">L338+L341</f>
        <v>106000</v>
      </c>
      <c r="M335" s="61">
        <f ca="1">M338+M341</f>
        <v>85750</v>
      </c>
      <c r="N335" s="61">
        <f ca="1">N338+N341</f>
        <v>28415</v>
      </c>
      <c r="O335" s="61">
        <f ca="1">IF(L335&gt;0,N335*100/L335,0)</f>
        <v>26.806603773584907</v>
      </c>
      <c r="P335" s="61">
        <f ca="1">IF(M335&gt;0,N335*100/M335,0)</f>
        <v>33.137026239067055</v>
      </c>
    </row>
    <row r="336" spans="1:16" ht="18.75" x14ac:dyDescent="0.25">
      <c r="A336" s="157"/>
      <c r="B336" s="53"/>
      <c r="C336" s="53"/>
      <c r="D336" s="573" t="s">
        <v>20</v>
      </c>
      <c r="E336" s="53"/>
      <c r="F336" s="53"/>
      <c r="G336" s="55"/>
      <c r="H336" s="163" t="s">
        <v>12</v>
      </c>
      <c r="I336" s="164"/>
      <c r="J336" s="164"/>
      <c r="K336" s="165"/>
      <c r="L336" s="61">
        <f ca="1">L337+L338</f>
        <v>106000</v>
      </c>
      <c r="M336" s="61">
        <f ca="1">M337+M338</f>
        <v>85750</v>
      </c>
      <c r="N336" s="61">
        <f ca="1">N337+N338</f>
        <v>28415</v>
      </c>
      <c r="O336" s="61">
        <f ca="1">IF(L336&gt;0,N336*100/L336,0)</f>
        <v>26.806603773584907</v>
      </c>
      <c r="P336" s="61">
        <f ca="1">IF(M336&gt;0,N336*100/M336,0)</f>
        <v>33.137026239067055</v>
      </c>
    </row>
    <row r="337" spans="1:16" ht="18.75" hidden="1" x14ac:dyDescent="0.25">
      <c r="A337" s="541"/>
      <c r="B337" s="526"/>
      <c r="C337" s="526"/>
      <c r="D337" s="526"/>
      <c r="E337" s="540" t="s">
        <v>34</v>
      </c>
      <c r="F337" s="526"/>
      <c r="G337" s="525"/>
      <c r="H337" s="542" t="s">
        <v>12</v>
      </c>
      <c r="I337" s="532"/>
      <c r="J337" s="532"/>
      <c r="K337" s="531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157"/>
      <c r="B338" s="53"/>
      <c r="C338" s="53"/>
      <c r="D338" s="53"/>
      <c r="E338" s="336" t="s">
        <v>35</v>
      </c>
      <c r="F338" s="53"/>
      <c r="G338" s="55"/>
      <c r="H338" s="163" t="s">
        <v>12</v>
      </c>
      <c r="I338" s="164"/>
      <c r="J338" s="164"/>
      <c r="K338" s="165"/>
      <c r="L338" s="61">
        <f ca="1">IFERROR(__xludf.DUMMYFUNCTION("IMPORTRANGE(""https://docs.google.com/spreadsheets/d/1-uDff_7J0KD5mKrp0Vvzr7lt3OU09vwQwhkpOPPYv2Y/edit?usp=sharing"",""งบพรบ!ES53"")"),106000)</f>
        <v>106000</v>
      </c>
      <c r="M338" s="61">
        <f ca="1">IFERROR(__xludf.DUMMYFUNCTION("IMPORTRANGE(""https://docs.google.com/spreadsheets/d/1-uDff_7J0KD5mKrp0Vvzr7lt3OU09vwQwhkpOPPYv2Y/edit?usp=sharing"",""งบพรบ!EX53"")"),85750)</f>
        <v>85750</v>
      </c>
      <c r="N338" s="61">
        <f ca="1">IFERROR(__xludf.DUMMYFUNCTION("IMPORTRANGE(""https://docs.google.com/spreadsheets/d/1-uDff_7J0KD5mKrp0Vvzr7lt3OU09vwQwhkpOPPYv2Y/edit?usp=sharing"",""งบพรบ!EZ53"")"),28415)</f>
        <v>28415</v>
      </c>
      <c r="O338" s="61">
        <f ca="1">IF(L338&gt;0,N338*100/L338,0)</f>
        <v>26.806603773584907</v>
      </c>
      <c r="P338" s="61">
        <f ca="1">IF(M338&gt;0,N338*100/M338,0)</f>
        <v>33.137026239067055</v>
      </c>
    </row>
    <row r="339" spans="1:16" ht="18.75" x14ac:dyDescent="0.25">
      <c r="A339" s="157"/>
      <c r="B339" s="53"/>
      <c r="C339" s="53"/>
      <c r="D339" s="573" t="s">
        <v>21</v>
      </c>
      <c r="E339" s="53"/>
      <c r="F339" s="53"/>
      <c r="G339" s="55"/>
      <c r="H339" s="166" t="s">
        <v>12</v>
      </c>
      <c r="I339" s="164"/>
      <c r="J339" s="164"/>
      <c r="K339" s="165"/>
      <c r="L339" s="61">
        <f ca="1">L340+L341</f>
        <v>0</v>
      </c>
      <c r="M339" s="61">
        <f ca="1">M340+M341</f>
        <v>0</v>
      </c>
      <c r="N339" s="61">
        <f ca="1">N340+N341</f>
        <v>0</v>
      </c>
      <c r="O339" s="61">
        <f ca="1">IF(L339&gt;0,N339*100/L339,0)</f>
        <v>0</v>
      </c>
      <c r="P339" s="61">
        <f ca="1">IF(M339&gt;0,N339*100/M339,0)</f>
        <v>0</v>
      </c>
    </row>
    <row r="340" spans="1:16" ht="18.75" hidden="1" x14ac:dyDescent="0.25">
      <c r="A340" s="541"/>
      <c r="B340" s="526"/>
      <c r="C340" s="526"/>
      <c r="D340" s="526"/>
      <c r="E340" s="540" t="s">
        <v>18</v>
      </c>
      <c r="F340" s="526"/>
      <c r="G340" s="525"/>
      <c r="H340" s="542" t="s">
        <v>12</v>
      </c>
      <c r="I340" s="532"/>
      <c r="J340" s="532"/>
      <c r="K340" s="531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157"/>
      <c r="B341" s="53"/>
      <c r="C341" s="53"/>
      <c r="D341" s="53"/>
      <c r="E341" s="336" t="s">
        <v>19</v>
      </c>
      <c r="F341" s="53"/>
      <c r="G341" s="55"/>
      <c r="H341" s="166" t="s">
        <v>12</v>
      </c>
      <c r="I341" s="164"/>
      <c r="J341" s="164"/>
      <c r="K341" s="165"/>
      <c r="L341" s="61">
        <f ca="1">IFERROR(__xludf.DUMMYFUNCTION("IMPORTRANGE(""https://docs.google.com/spreadsheets/d/1-uDff_7J0KD5mKrp0Vvzr7lt3OU09vwQwhkpOPPYv2Y/edit?usp=sharing"",""งบพรบ!EV53"")"),0)</f>
        <v>0</v>
      </c>
      <c r="M341" s="61">
        <f ca="1">IFERROR(__xludf.DUMMYFUNCTION("IMPORTRANGE(""https://docs.google.com/spreadsheets/d/1-uDff_7J0KD5mKrp0Vvzr7lt3OU09vwQwhkpOPPYv2Y/edit?usp=sharing"",""งบพรบ!EY53"")"),0)</f>
        <v>0</v>
      </c>
      <c r="N341" s="61">
        <f ca="1">IFERROR(__xludf.DUMMYFUNCTION("IMPORTRANGE(""https://docs.google.com/spreadsheets/d/1-uDff_7J0KD5mKrp0Vvzr7lt3OU09vwQwhkpOPPYv2Y/edit?usp=sharing"",""งบพรบ!FA53"")"),0)</f>
        <v>0</v>
      </c>
      <c r="O341" s="61">
        <f ca="1">IF(L341&gt;0,N341*100/L341,0)</f>
        <v>0</v>
      </c>
      <c r="P341" s="61">
        <f ca="1">IF(M341&gt;0,N341*100/M341,0)</f>
        <v>0</v>
      </c>
    </row>
    <row r="342" spans="1:16" ht="19.5" x14ac:dyDescent="0.3">
      <c r="A342" s="167"/>
      <c r="B342" s="168"/>
      <c r="C342" s="158" t="s">
        <v>16</v>
      </c>
      <c r="D342" s="406" t="s">
        <v>36</v>
      </c>
      <c r="E342" s="170"/>
      <c r="F342" s="170"/>
      <c r="G342" s="170"/>
      <c r="H342" s="407"/>
      <c r="I342" s="408"/>
      <c r="J342" s="408"/>
      <c r="K342" s="409"/>
      <c r="L342" s="58"/>
      <c r="M342" s="58"/>
      <c r="N342" s="58"/>
      <c r="O342" s="165"/>
      <c r="P342" s="165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530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IFERROR(__xludf.DUMMYFUNCTION("IMPORTRANGE(""https://docs.google.com/spreadsheets/d/1eHaY18a8A9IcSdp1K8H6x8fbOy06t2VsZHhMHf-1x7Y/edit?usp=sharing"",""แผน!EK53"")"),1060)</f>
        <v>1060</v>
      </c>
      <c r="J344" s="426">
        <f ca="1">IFERROR(__xludf.DUMMYFUNCTION("IMPORTRANGE(""https://docs.google.com/spreadsheets/d/1awYsYK3VOup2i3Pq_Yjnu8DRu_mYwSBnCR2QPthd0rU/edit?usp=sharing"",""ศูนย์ยกเว้นโฉนด!D53"")"),457)</f>
        <v>457</v>
      </c>
      <c r="K344" s="427">
        <f ca="1">IF(I344&gt;0,J344*100/I344,0)</f>
        <v>43.113207547169814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IFERROR(__xludf.DUMMYFUNCTION("IMPORTRANGE(""https://docs.google.com/spreadsheets/d/1eHaY18a8A9IcSdp1K8H6x8fbOy06t2VsZHhMHf-1x7Y/edit?usp=sharing"",""แผน!EL53"")"),3)</f>
        <v>3</v>
      </c>
      <c r="J346" s="426">
        <f ca="1">IFERROR(__xludf.DUMMYFUNCTION("IMPORTRANGE(""https://docs.google.com/spreadsheets/d/1awYsYK3VOup2i3Pq_Yjnu8DRu_mYwSBnCR2QPthd0rU/edit?usp=sharing"",""ศูนย์รวม!E53"")"),0)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IFERROR(__xludf.DUMMYFUNCTION("IMPORTRANGE(""https://docs.google.com/spreadsheets/d/1awYsYK3VOup2i3Pq_Yjnu8DRu_mYwSBnCR2QPthd0rU/edit?usp=sharing"",""ศูนย์ยกเว้นโฉนด!F53"")"),0)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IFERROR(__xludf.DUMMYFUNCTION("IMPORTRANGE(""https://docs.google.com/spreadsheets/d/1awYsYK3VOup2i3Pq_Yjnu8DRu_mYwSBnCR2QPthd0rU/edit?usp=sharing"",""ศูนย์ยกเว้นโฉนด!G53"")"),13)</f>
        <v>13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IFERROR(__xludf.DUMMYFUNCTION("IMPORTRANGE(""https://docs.google.com/spreadsheets/d/1awYsYK3VOup2i3Pq_Yjnu8DRu_mYwSBnCR2QPthd0rU/edit?usp=sharing"",""ศูนย์ยกเว้นโฉนด!H53"")"),60)</f>
        <v>60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949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IFERROR(__xludf.DUMMYFUNCTION("IMPORTRANGE(""https://docs.google.com/spreadsheets/d/1awYsYK3VOup2i3Pq_Yjnu8DRu_mYwSBnCR2QPthd0rU/edit?usp=sharing"",""โฉนดM3!G53"")"),16)</f>
        <v>16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IFERROR(__xludf.DUMMYFUNCTION("IMPORTRANGE(""https://docs.google.com/spreadsheets/d/1awYsYK3VOup2i3Pq_Yjnu8DRu_mYwSBnCR2QPthd0rU/edit?usp=sharing"",""โฉนดM3!H53"")"),933)</f>
        <v>933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392"/>
      <c r="B355" s="393" t="s">
        <v>141</v>
      </c>
      <c r="C355" s="402"/>
      <c r="D355" s="394"/>
      <c r="E355" s="394"/>
      <c r="F355" s="394"/>
      <c r="G355" s="395"/>
      <c r="H355" s="395"/>
      <c r="I355" s="443"/>
      <c r="J355" s="443"/>
      <c r="K355" s="399"/>
      <c r="L355" s="399"/>
      <c r="M355" s="399"/>
      <c r="N355" s="399"/>
      <c r="O355" s="399"/>
      <c r="P355" s="399"/>
    </row>
    <row r="356" spans="1:16" ht="19.5" x14ac:dyDescent="0.3">
      <c r="A356" s="157"/>
      <c r="B356" s="53"/>
      <c r="C356" s="158" t="s">
        <v>16</v>
      </c>
      <c r="D356" s="574" t="s">
        <v>17</v>
      </c>
      <c r="E356" s="53"/>
      <c r="F356" s="53"/>
      <c r="G356" s="55"/>
      <c r="H356" s="160" t="s">
        <v>12</v>
      </c>
      <c r="I356" s="57"/>
      <c r="J356" s="57"/>
      <c r="K356" s="58"/>
      <c r="L356" s="161">
        <f ca="1">L357+L358</f>
        <v>756670</v>
      </c>
      <c r="M356" s="161">
        <f ca="1">M357+M358</f>
        <v>634245</v>
      </c>
      <c r="N356" s="161">
        <f ca="1">N357+N358</f>
        <v>59875</v>
      </c>
      <c r="O356" s="161">
        <f ca="1">IF(L356&gt;0,N356*100/L356,0)</f>
        <v>7.9129607358557887</v>
      </c>
      <c r="P356" s="161">
        <f ca="1">IF(M356&gt;0,N356*100/M356,0)</f>
        <v>9.4403582211921258</v>
      </c>
    </row>
    <row r="357" spans="1:16" ht="18.75" hidden="1" x14ac:dyDescent="0.25">
      <c r="A357" s="541"/>
      <c r="B357" s="526"/>
      <c r="C357" s="526"/>
      <c r="D357" s="526"/>
      <c r="E357" s="540" t="s">
        <v>18</v>
      </c>
      <c r="F357" s="526"/>
      <c r="G357" s="525"/>
      <c r="H357" s="544" t="s">
        <v>12</v>
      </c>
      <c r="I357" s="199"/>
      <c r="J357" s="199"/>
      <c r="K357" s="521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157"/>
      <c r="B358" s="53"/>
      <c r="C358" s="53"/>
      <c r="D358" s="53"/>
      <c r="E358" s="336" t="s">
        <v>19</v>
      </c>
      <c r="F358" s="53"/>
      <c r="G358" s="55"/>
      <c r="H358" s="162" t="s">
        <v>12</v>
      </c>
      <c r="I358" s="57"/>
      <c r="J358" s="57"/>
      <c r="K358" s="58"/>
      <c r="L358" s="61">
        <f ca="1">L361+L364</f>
        <v>756670</v>
      </c>
      <c r="M358" s="61">
        <f ca="1">M361+M364</f>
        <v>634245</v>
      </c>
      <c r="N358" s="61">
        <f ca="1">N361+N364</f>
        <v>59875</v>
      </c>
      <c r="O358" s="61">
        <f ca="1">IF(L358&gt;0,N358*100/L358,0)</f>
        <v>7.9129607358557887</v>
      </c>
      <c r="P358" s="61">
        <f ca="1">IF(M358&gt;0,N358*100/M358,0)</f>
        <v>9.4403582211921258</v>
      </c>
    </row>
    <row r="359" spans="1:16" ht="18.75" x14ac:dyDescent="0.25">
      <c r="A359" s="157"/>
      <c r="B359" s="53"/>
      <c r="C359" s="53"/>
      <c r="D359" s="573" t="s">
        <v>20</v>
      </c>
      <c r="E359" s="53"/>
      <c r="F359" s="53"/>
      <c r="G359" s="55"/>
      <c r="H359" s="163" t="s">
        <v>12</v>
      </c>
      <c r="I359" s="164"/>
      <c r="J359" s="164"/>
      <c r="K359" s="165"/>
      <c r="L359" s="61">
        <f ca="1">L360+L361</f>
        <v>756670</v>
      </c>
      <c r="M359" s="61">
        <f ca="1">M360+M361</f>
        <v>634245</v>
      </c>
      <c r="N359" s="61">
        <f ca="1">N360+N361</f>
        <v>59875</v>
      </c>
      <c r="O359" s="61">
        <f ca="1">IF(L359&gt;0,N359*100/L359,0)</f>
        <v>7.9129607358557887</v>
      </c>
      <c r="P359" s="61">
        <f ca="1">IF(M359&gt;0,N359*100/M359,0)</f>
        <v>9.4403582211921258</v>
      </c>
    </row>
    <row r="360" spans="1:16" ht="18.75" hidden="1" x14ac:dyDescent="0.25">
      <c r="A360" s="541"/>
      <c r="B360" s="526"/>
      <c r="C360" s="526"/>
      <c r="D360" s="526"/>
      <c r="E360" s="540" t="s">
        <v>34</v>
      </c>
      <c r="F360" s="526"/>
      <c r="G360" s="525"/>
      <c r="H360" s="542" t="s">
        <v>12</v>
      </c>
      <c r="I360" s="532"/>
      <c r="J360" s="532"/>
      <c r="K360" s="531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157"/>
      <c r="B361" s="53"/>
      <c r="C361" s="53"/>
      <c r="D361" s="53"/>
      <c r="E361" s="336" t="s">
        <v>35</v>
      </c>
      <c r="F361" s="53"/>
      <c r="G361" s="55"/>
      <c r="H361" s="163" t="s">
        <v>12</v>
      </c>
      <c r="I361" s="164"/>
      <c r="J361" s="164"/>
      <c r="K361" s="165"/>
      <c r="L361" s="61">
        <f ca="1">IFERROR(__xludf.DUMMYFUNCTION("IMPORTRANGE(""https://docs.google.com/spreadsheets/d/1-uDff_7J0KD5mKrp0Vvzr7lt3OU09vwQwhkpOPPYv2Y/edit?usp=sharing"",""งบพรบ!FC53"")"),756670)</f>
        <v>756670</v>
      </c>
      <c r="M361" s="61">
        <f ca="1">IFERROR(__xludf.DUMMYFUNCTION("IMPORTRANGE(""https://docs.google.com/spreadsheets/d/1-uDff_7J0KD5mKrp0Vvzr7lt3OU09vwQwhkpOPPYv2Y/edit?usp=sharing"",""งบพรบ!FH53"")"),634245)</f>
        <v>634245</v>
      </c>
      <c r="N361" s="61">
        <f ca="1">IFERROR(__xludf.DUMMYFUNCTION("IMPORTRANGE(""https://docs.google.com/spreadsheets/d/1-uDff_7J0KD5mKrp0Vvzr7lt3OU09vwQwhkpOPPYv2Y/edit?usp=sharing"",""งบพรบ!FJ53"")"),59875)</f>
        <v>59875</v>
      </c>
      <c r="O361" s="61">
        <f ca="1">IF(L361&gt;0,N361*100/L361,0)</f>
        <v>7.9129607358557887</v>
      </c>
      <c r="P361" s="61">
        <f ca="1">IF(M361&gt;0,N361*100/M361,0)</f>
        <v>9.4403582211921258</v>
      </c>
    </row>
    <row r="362" spans="1:16" ht="18.75" x14ac:dyDescent="0.25">
      <c r="A362" s="157"/>
      <c r="B362" s="53"/>
      <c r="C362" s="53"/>
      <c r="D362" s="573" t="s">
        <v>21</v>
      </c>
      <c r="E362" s="53"/>
      <c r="F362" s="53"/>
      <c r="G362" s="55"/>
      <c r="H362" s="166" t="s">
        <v>12</v>
      </c>
      <c r="I362" s="164"/>
      <c r="J362" s="164"/>
      <c r="K362" s="165"/>
      <c r="L362" s="61">
        <f ca="1">L363+L364</f>
        <v>0</v>
      </c>
      <c r="M362" s="61">
        <f ca="1">M363+M364</f>
        <v>0</v>
      </c>
      <c r="N362" s="61">
        <f ca="1">N363+N364</f>
        <v>0</v>
      </c>
      <c r="O362" s="61">
        <f ca="1">IF(L362&gt;0,N362*100/L362,0)</f>
        <v>0</v>
      </c>
      <c r="P362" s="61">
        <f ca="1">IF(M362&gt;0,N362*100/M362,0)</f>
        <v>0</v>
      </c>
    </row>
    <row r="363" spans="1:16" ht="18.75" hidden="1" x14ac:dyDescent="0.25">
      <c r="A363" s="541"/>
      <c r="B363" s="526"/>
      <c r="C363" s="526"/>
      <c r="D363" s="526"/>
      <c r="E363" s="540" t="s">
        <v>18</v>
      </c>
      <c r="F363" s="526"/>
      <c r="G363" s="525"/>
      <c r="H363" s="542" t="s">
        <v>12</v>
      </c>
      <c r="I363" s="532"/>
      <c r="J363" s="532"/>
      <c r="K363" s="531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157"/>
      <c r="B364" s="53"/>
      <c r="C364" s="53"/>
      <c r="D364" s="53"/>
      <c r="E364" s="336" t="s">
        <v>19</v>
      </c>
      <c r="F364" s="53"/>
      <c r="G364" s="55"/>
      <c r="H364" s="166" t="s">
        <v>12</v>
      </c>
      <c r="I364" s="164"/>
      <c r="J364" s="164"/>
      <c r="K364" s="165"/>
      <c r="L364" s="61">
        <f ca="1">IFERROR(__xludf.DUMMYFUNCTION("IMPORTRANGE(""https://docs.google.com/spreadsheets/d/1-uDff_7J0KD5mKrp0Vvzr7lt3OU09vwQwhkpOPPYv2Y/edit?usp=sharing"",""งบพรบ!FF53"")"),0)</f>
        <v>0</v>
      </c>
      <c r="M364" s="61">
        <f ca="1">IFERROR(__xludf.DUMMYFUNCTION("IMPORTRANGE(""https://docs.google.com/spreadsheets/d/1-uDff_7J0KD5mKrp0Vvzr7lt3OU09vwQwhkpOPPYv2Y/edit?usp=sharing"",""งบพรบ!FI53"")"),0)</f>
        <v>0</v>
      </c>
      <c r="N364" s="61">
        <f ca="1">IFERROR(__xludf.DUMMYFUNCTION("IMPORTRANGE(""https://docs.google.com/spreadsheets/d/1-uDff_7J0KD5mKrp0Vvzr7lt3OU09vwQwhkpOPPYv2Y/edit?usp=sharing"",""งบพรบ!FK53"")"),0)</f>
        <v>0</v>
      </c>
      <c r="O364" s="61">
        <f ca="1">IF(L364&gt;0,N364*100/L364,0)</f>
        <v>0</v>
      </c>
      <c r="P364" s="61">
        <f ca="1">IF(M364&gt;0,N364*100/M364,0)</f>
        <v>0</v>
      </c>
    </row>
    <row r="365" spans="1:16" ht="19.5" x14ac:dyDescent="0.3">
      <c r="A365" s="281"/>
      <c r="B365" s="282"/>
      <c r="C365" s="284"/>
      <c r="D365" s="572" t="s">
        <v>142</v>
      </c>
      <c r="E365" s="284"/>
      <c r="F365" s="284"/>
      <c r="G365" s="285"/>
      <c r="H365" s="445" t="s">
        <v>33</v>
      </c>
      <c r="I365" s="447">
        <f ca="1">I371</f>
        <v>138</v>
      </c>
      <c r="J365" s="447">
        <f ca="1">J371</f>
        <v>9</v>
      </c>
      <c r="K365" s="448">
        <f ca="1">IF(I365&gt;0,J365*100/I365,0)</f>
        <v>6.5217391304347823</v>
      </c>
      <c r="L365" s="289"/>
      <c r="M365" s="289"/>
      <c r="N365" s="289"/>
      <c r="O365" s="289"/>
      <c r="P365" s="289"/>
    </row>
    <row r="366" spans="1:16" ht="19.5" x14ac:dyDescent="0.3">
      <c r="A366" s="167"/>
      <c r="B366" s="168"/>
      <c r="C366" s="158" t="s">
        <v>16</v>
      </c>
      <c r="D366" s="571" t="s">
        <v>36</v>
      </c>
      <c r="E366" s="170"/>
      <c r="F366" s="170"/>
      <c r="G366" s="171"/>
      <c r="H366" s="172"/>
      <c r="I366" s="57"/>
      <c r="J366" s="57"/>
      <c r="K366" s="58"/>
      <c r="L366" s="165"/>
      <c r="M366" s="165"/>
      <c r="N366" s="165"/>
      <c r="O366" s="165"/>
      <c r="P366" s="165"/>
    </row>
    <row r="367" spans="1:16" ht="18.75" x14ac:dyDescent="0.25">
      <c r="A367" s="167"/>
      <c r="B367" s="174"/>
      <c r="C367" s="168"/>
      <c r="D367" s="174"/>
      <c r="E367" s="449" t="s">
        <v>143</v>
      </c>
      <c r="F367" s="174"/>
      <c r="G367" s="172"/>
      <c r="H367" s="185" t="s">
        <v>33</v>
      </c>
      <c r="I367" s="196">
        <v>0</v>
      </c>
      <c r="J367" s="196">
        <f ca="1">IFERROR(__xludf.DUMMYFUNCTION("IMPORTRANGE(""https://docs.google.com/spreadsheets/d/1tdoBKaGub7dwA3U6UFTqxio9LNnvDCQjHKmttSEBsFQ/edit?usp=sharing"",""จัดที่ดิน!AB53"")"),36)</f>
        <v>36</v>
      </c>
      <c r="K367" s="61">
        <f>IF(I367&gt;0,J367*100/I367,0)</f>
        <v>0</v>
      </c>
      <c r="L367" s="165"/>
      <c r="M367" s="165"/>
      <c r="N367" s="165"/>
      <c r="O367" s="165"/>
      <c r="P367" s="165"/>
    </row>
    <row r="368" spans="1:16" ht="18.75" x14ac:dyDescent="0.25">
      <c r="A368" s="167"/>
      <c r="B368" s="174"/>
      <c r="C368" s="168"/>
      <c r="D368" s="174"/>
      <c r="E368" s="174"/>
      <c r="F368" s="174"/>
      <c r="G368" s="172"/>
      <c r="H368" s="185" t="s">
        <v>44</v>
      </c>
      <c r="I368" s="196">
        <f ca="1">IFERROR(__xludf.DUMMYFUNCTION("IMPORTRANGE(""https://docs.google.com/spreadsheets/d/1eHaY18a8A9IcSdp1K8H6x8fbOy06t2VsZHhMHf-1x7Y/edit?usp=sharing"",""แผน!EW53"")"),1350)</f>
        <v>1350</v>
      </c>
      <c r="J368" s="570">
        <f ca="1">IFERROR(__xludf.DUMMYFUNCTION("IMPORTRANGE(""https://docs.google.com/spreadsheets/d/1tdoBKaGub7dwA3U6UFTqxio9LNnvDCQjHKmttSEBsFQ/edit?usp=sharing"",""จัดที่ดิน!AC53"")"),426.92)</f>
        <v>426.92</v>
      </c>
      <c r="K368" s="61">
        <f ca="1">IF(I368&gt;0,J368*100/I368,0)</f>
        <v>31.623703703703704</v>
      </c>
      <c r="L368" s="165"/>
      <c r="M368" s="165"/>
      <c r="N368" s="165"/>
      <c r="O368" s="165"/>
      <c r="P368" s="165"/>
    </row>
    <row r="369" spans="1:16" ht="18.75" x14ac:dyDescent="0.25">
      <c r="A369" s="167"/>
      <c r="B369" s="174"/>
      <c r="C369" s="168"/>
      <c r="D369" s="174"/>
      <c r="E369" s="449" t="s">
        <v>144</v>
      </c>
      <c r="F369" s="174"/>
      <c r="G369" s="172"/>
      <c r="H369" s="297" t="s">
        <v>33</v>
      </c>
      <c r="I369" s="196">
        <f ca="1">IFERROR(__xludf.DUMMYFUNCTION("IMPORTRANGE(""https://docs.google.com/spreadsheets/d/1eHaY18a8A9IcSdp1K8H6x8fbOy06t2VsZHhMHf-1x7Y/edit?usp=sharing"",""แผน!EX53"")"),210)</f>
        <v>210</v>
      </c>
      <c r="J369" s="196">
        <f ca="1">IFERROR(__xludf.DUMMYFUNCTION("IMPORTRANGE(""https://docs.google.com/spreadsheets/d/1tdoBKaGub7dwA3U6UFTqxio9LNnvDCQjHKmttSEBsFQ/edit?usp=sharing"",""จัดที่ดิน!AD53"")"),11)</f>
        <v>11</v>
      </c>
      <c r="K369" s="61">
        <f ca="1">IF(I369&gt;0,J369*100/I369,0)</f>
        <v>5.2380952380952381</v>
      </c>
      <c r="L369" s="165"/>
      <c r="M369" s="165"/>
      <c r="N369" s="165"/>
      <c r="O369" s="165"/>
      <c r="P369" s="165"/>
    </row>
    <row r="370" spans="1:16" ht="18.75" x14ac:dyDescent="0.25">
      <c r="A370" s="167"/>
      <c r="B370" s="174"/>
      <c r="C370" s="168"/>
      <c r="D370" s="174"/>
      <c r="E370" s="174"/>
      <c r="F370" s="174"/>
      <c r="G370" s="172"/>
      <c r="H370" s="297" t="s">
        <v>44</v>
      </c>
      <c r="I370" s="196">
        <v>0</v>
      </c>
      <c r="J370" s="570">
        <f ca="1">IFERROR(__xludf.DUMMYFUNCTION("IMPORTRANGE(""https://docs.google.com/spreadsheets/d/1tdoBKaGub7dwA3U6UFTqxio9LNnvDCQjHKmttSEBsFQ/edit?usp=sharing"",""จัดที่ดิน!AE53"")"),188.899999999999)</f>
        <v>188.89999999999901</v>
      </c>
      <c r="K370" s="61">
        <f>IF(I370&gt;0,J370*100/I370,0)</f>
        <v>0</v>
      </c>
      <c r="L370" s="165"/>
      <c r="M370" s="165"/>
      <c r="N370" s="165"/>
      <c r="O370" s="165"/>
      <c r="P370" s="165"/>
    </row>
    <row r="371" spans="1:16" ht="18.75" x14ac:dyDescent="0.25">
      <c r="A371" s="167"/>
      <c r="B371" s="174"/>
      <c r="C371" s="168"/>
      <c r="D371" s="174"/>
      <c r="E371" s="449" t="s">
        <v>145</v>
      </c>
      <c r="F371" s="174"/>
      <c r="G371" s="172"/>
      <c r="H371" s="297" t="s">
        <v>33</v>
      </c>
      <c r="I371" s="196">
        <f ca="1">IFERROR(__xludf.DUMMYFUNCTION("IMPORTRANGE(""https://docs.google.com/spreadsheets/d/1eHaY18a8A9IcSdp1K8H6x8fbOy06t2VsZHhMHf-1x7Y/edit?usp=sharing"",""แผน!EY53"")"),138)</f>
        <v>138</v>
      </c>
      <c r="J371" s="196">
        <f ca="1">IFERROR(__xludf.DUMMYFUNCTION("IMPORTRANGE(""https://docs.google.com/spreadsheets/d/1tdoBKaGub7dwA3U6UFTqxio9LNnvDCQjHKmttSEBsFQ/edit?usp=sharing"",""จัดที่ดิน!AF53"")"),9)</f>
        <v>9</v>
      </c>
      <c r="K371" s="61">
        <f ca="1">IF(I371&gt;0,J371*100/I371,0)</f>
        <v>6.5217391304347823</v>
      </c>
      <c r="L371" s="165"/>
      <c r="M371" s="165"/>
      <c r="N371" s="165"/>
      <c r="O371" s="165"/>
      <c r="P371" s="165"/>
    </row>
    <row r="372" spans="1:16" ht="18.75" x14ac:dyDescent="0.25">
      <c r="A372" s="450"/>
      <c r="B372" s="343"/>
      <c r="C372" s="341"/>
      <c r="D372" s="343"/>
      <c r="E372" s="343"/>
      <c r="F372" s="343"/>
      <c r="G372" s="344"/>
      <c r="H372" s="451" t="s">
        <v>44</v>
      </c>
      <c r="I372" s="345">
        <v>0</v>
      </c>
      <c r="J372" s="569">
        <f ca="1">IFERROR(__xludf.DUMMYFUNCTION("IMPORTRANGE(""https://docs.google.com/spreadsheets/d/1tdoBKaGub7dwA3U6UFTqxio9LNnvDCQjHKmttSEBsFQ/edit?usp=sharing"",""จัดที่ดิน!AG53"")"),185.75)</f>
        <v>185.75</v>
      </c>
      <c r="K372" s="139">
        <f>IF(I372&gt;0,J372*100/I372,0)</f>
        <v>0</v>
      </c>
      <c r="L372" s="347"/>
      <c r="M372" s="347"/>
      <c r="N372" s="347"/>
      <c r="O372" s="347"/>
      <c r="P372" s="347"/>
    </row>
    <row r="373" spans="1:16" ht="19.5" x14ac:dyDescent="0.3">
      <c r="A373" s="452"/>
      <c r="B373" s="453"/>
      <c r="C373" s="454"/>
      <c r="D373" s="45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456"/>
      <c r="F373" s="456"/>
      <c r="G373" s="456"/>
      <c r="H373" s="457"/>
      <c r="I373" s="458"/>
      <c r="J373" s="458"/>
      <c r="K373" s="459"/>
      <c r="L373" s="459"/>
      <c r="M373" s="459"/>
      <c r="N373" s="459"/>
      <c r="O373" s="459"/>
      <c r="P373" s="459"/>
    </row>
    <row r="374" spans="1:16" ht="19.5" hidden="1" x14ac:dyDescent="0.3">
      <c r="A374" s="568" t="s">
        <v>146</v>
      </c>
      <c r="B374" s="567"/>
      <c r="C374" s="567"/>
      <c r="D374" s="567"/>
      <c r="E374" s="566"/>
      <c r="F374" s="566"/>
      <c r="G374" s="566"/>
      <c r="H374" s="566"/>
      <c r="I374" s="565"/>
      <c r="J374" s="565"/>
      <c r="K374" s="564"/>
      <c r="L374" s="564"/>
      <c r="M374" s="564"/>
      <c r="N374" s="564"/>
      <c r="O374" s="564"/>
      <c r="P374" s="563"/>
    </row>
    <row r="375" spans="1:16" ht="19.5" hidden="1" x14ac:dyDescent="0.3">
      <c r="A375" s="562" t="s">
        <v>147</v>
      </c>
      <c r="B375" s="560"/>
      <c r="C375" s="560"/>
      <c r="D375" s="561"/>
      <c r="E375" s="560"/>
      <c r="F375" s="560"/>
      <c r="G375" s="560"/>
      <c r="H375" s="559"/>
      <c r="I375" s="558"/>
      <c r="J375" s="558"/>
      <c r="K375" s="557"/>
      <c r="L375" s="557"/>
      <c r="M375" s="557"/>
      <c r="N375" s="557"/>
      <c r="O375" s="557"/>
      <c r="P375" s="557"/>
    </row>
    <row r="376" spans="1:16" ht="19.5" hidden="1" x14ac:dyDescent="0.3">
      <c r="A376" s="556"/>
      <c r="B376" s="555" t="s">
        <v>148</v>
      </c>
      <c r="C376" s="554"/>
      <c r="D376" s="553"/>
      <c r="E376" s="553"/>
      <c r="F376" s="553"/>
      <c r="G376" s="552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548"/>
      <c r="M376" s="548"/>
      <c r="N376" s="548"/>
      <c r="O376" s="548"/>
      <c r="P376" s="548"/>
    </row>
    <row r="377" spans="1:16" ht="19.5" hidden="1" x14ac:dyDescent="0.3">
      <c r="A377" s="541"/>
      <c r="B377" s="526"/>
      <c r="C377" s="537" t="s">
        <v>16</v>
      </c>
      <c r="D377" s="547" t="s">
        <v>17</v>
      </c>
      <c r="E377" s="526"/>
      <c r="F377" s="526"/>
      <c r="G377" s="525"/>
      <c r="H377" s="546" t="s">
        <v>12</v>
      </c>
      <c r="I377" s="199"/>
      <c r="J377" s="199"/>
      <c r="K377" s="521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541"/>
      <c r="B378" s="526"/>
      <c r="C378" s="526"/>
      <c r="D378" s="526"/>
      <c r="E378" s="540" t="s">
        <v>18</v>
      </c>
      <c r="F378" s="526"/>
      <c r="G378" s="525"/>
      <c r="H378" s="544" t="s">
        <v>12</v>
      </c>
      <c r="I378" s="199"/>
      <c r="J378" s="199"/>
      <c r="K378" s="521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541"/>
      <c r="B379" s="526"/>
      <c r="C379" s="526"/>
      <c r="D379" s="526"/>
      <c r="E379" s="540" t="s">
        <v>19</v>
      </c>
      <c r="F379" s="526"/>
      <c r="G379" s="525"/>
      <c r="H379" s="544" t="s">
        <v>12</v>
      </c>
      <c r="I379" s="199"/>
      <c r="J379" s="199"/>
      <c r="K379" s="521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541"/>
      <c r="B380" s="526"/>
      <c r="C380" s="526"/>
      <c r="D380" s="543" t="s">
        <v>20</v>
      </c>
      <c r="E380" s="526"/>
      <c r="F380" s="526"/>
      <c r="G380" s="525"/>
      <c r="H380" s="542" t="s">
        <v>12</v>
      </c>
      <c r="I380" s="532"/>
      <c r="J380" s="532"/>
      <c r="K380" s="531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541"/>
      <c r="B381" s="526"/>
      <c r="C381" s="526"/>
      <c r="D381" s="526"/>
      <c r="E381" s="540" t="s">
        <v>34</v>
      </c>
      <c r="F381" s="526"/>
      <c r="G381" s="525"/>
      <c r="H381" s="542" t="s">
        <v>12</v>
      </c>
      <c r="I381" s="532"/>
      <c r="J381" s="532"/>
      <c r="K381" s="531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541"/>
      <c r="B382" s="526"/>
      <c r="C382" s="526"/>
      <c r="D382" s="526"/>
      <c r="E382" s="540" t="s">
        <v>35</v>
      </c>
      <c r="F382" s="526"/>
      <c r="G382" s="525"/>
      <c r="H382" s="542" t="s">
        <v>12</v>
      </c>
      <c r="I382" s="532"/>
      <c r="J382" s="532"/>
      <c r="K382" s="531"/>
      <c r="L382" s="522">
        <f ca="1">IFERROR(__xludf.DUMMYFUNCTION("IMPORTRANGE(""https://docs.google.com/spreadsheets/d/1-uDff_7J0KD5mKrp0Vvzr7lt3OU09vwQwhkpOPPYv2Y/edit?usp=sharing"",""งบพรบ!FM53"")"),0)</f>
        <v>0</v>
      </c>
      <c r="M382" s="522">
        <f ca="1">IFERROR(__xludf.DUMMYFUNCTION("IMPORTRANGE(""https://docs.google.com/spreadsheets/d/1-uDff_7J0KD5mKrp0Vvzr7lt3OU09vwQwhkpOPPYv2Y/edit?usp=sharing"",""งบพรบ!FR53"")"),0)</f>
        <v>0</v>
      </c>
      <c r="N382" s="522">
        <f ca="1">IFERROR(__xludf.DUMMYFUNCTION("IMPORTRANGE(""https://docs.google.com/spreadsheets/d/1-uDff_7J0KD5mKrp0Vvzr7lt3OU09vwQwhkpOPPYv2Y/edit?usp=sharing"",""งบพรบ!FT53"")"),0)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541"/>
      <c r="B383" s="526"/>
      <c r="C383" s="526"/>
      <c r="D383" s="543" t="s">
        <v>21</v>
      </c>
      <c r="E383" s="526"/>
      <c r="F383" s="526"/>
      <c r="G383" s="525"/>
      <c r="H383" s="539" t="s">
        <v>12</v>
      </c>
      <c r="I383" s="532"/>
      <c r="J383" s="532"/>
      <c r="K383" s="531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541"/>
      <c r="B384" s="526"/>
      <c r="C384" s="526"/>
      <c r="D384" s="526"/>
      <c r="E384" s="540" t="s">
        <v>18</v>
      </c>
      <c r="F384" s="526"/>
      <c r="G384" s="525"/>
      <c r="H384" s="542" t="s">
        <v>12</v>
      </c>
      <c r="I384" s="532"/>
      <c r="J384" s="532"/>
      <c r="K384" s="531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541"/>
      <c r="B385" s="526"/>
      <c r="C385" s="526"/>
      <c r="D385" s="526"/>
      <c r="E385" s="540" t="s">
        <v>19</v>
      </c>
      <c r="F385" s="526"/>
      <c r="G385" s="525"/>
      <c r="H385" s="539" t="s">
        <v>12</v>
      </c>
      <c r="I385" s="532"/>
      <c r="J385" s="532"/>
      <c r="K385" s="531"/>
      <c r="L385" s="522">
        <f ca="1">IFERROR(__xludf.DUMMYFUNCTION("IMPORTRANGE(""https://docs.google.com/spreadsheets/d/1-uDff_7J0KD5mKrp0Vvzr7lt3OU09vwQwhkpOPPYv2Y/edit?usp=sharing"",""งบพรบ!FP53"")"),0)</f>
        <v>0</v>
      </c>
      <c r="M385" s="522">
        <f ca="1">IFERROR(__xludf.DUMMYFUNCTION("IMPORTRANGE(""https://docs.google.com/spreadsheets/d/1-uDff_7J0KD5mKrp0Vvzr7lt3OU09vwQwhkpOPPYv2Y/edit?usp=sharing"",""งบพรบ!FS53"")"),0)</f>
        <v>0</v>
      </c>
      <c r="N385" s="522">
        <f ca="1">IFERROR(__xludf.DUMMYFUNCTION("IMPORTRANGE(""https://docs.google.com/spreadsheets/d/1-uDff_7J0KD5mKrp0Vvzr7lt3OU09vwQwhkpOPPYv2Y/edit?usp=sharing"",""งบพรบ!FU53"")"),0)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538"/>
      <c r="B386" s="527"/>
      <c r="C386" s="537" t="s">
        <v>16</v>
      </c>
      <c r="D386" s="536" t="s">
        <v>36</v>
      </c>
      <c r="E386" s="535"/>
      <c r="F386" s="535"/>
      <c r="G386" s="534"/>
      <c r="H386" s="533"/>
      <c r="I386" s="532"/>
      <c r="J386" s="199"/>
      <c r="K386" s="521"/>
      <c r="L386" s="521"/>
      <c r="M386" s="521"/>
      <c r="N386" s="521"/>
      <c r="O386" s="531"/>
      <c r="P386" s="531"/>
    </row>
    <row r="387" spans="1:16" ht="18.75" hidden="1" x14ac:dyDescent="0.25">
      <c r="A387" s="530"/>
      <c r="B387" s="526"/>
      <c r="C387" s="529"/>
      <c r="D387" s="528" t="s">
        <v>149</v>
      </c>
      <c r="E387" s="527"/>
      <c r="F387" s="526"/>
      <c r="G387" s="525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521"/>
      <c r="M387" s="521"/>
      <c r="N387" s="521"/>
      <c r="O387" s="521"/>
      <c r="P387" s="521"/>
    </row>
    <row r="388" spans="1:16" ht="18.75" hidden="1" x14ac:dyDescent="0.25">
      <c r="A388" s="520"/>
      <c r="B388" s="516"/>
      <c r="C388" s="519"/>
      <c r="D388" s="518" t="s">
        <v>150</v>
      </c>
      <c r="E388" s="517"/>
      <c r="F388" s="516"/>
      <c r="G388" s="515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510"/>
      <c r="M388" s="510"/>
      <c r="N388" s="510"/>
      <c r="O388" s="510"/>
      <c r="P388" s="510"/>
    </row>
    <row r="389" spans="1:16" ht="12.75" x14ac:dyDescent="0.2">
      <c r="A389" s="487"/>
      <c r="B389" s="487"/>
      <c r="C389" s="487"/>
      <c r="D389" s="487"/>
      <c r="E389" s="487"/>
      <c r="F389" s="487"/>
      <c r="G389" s="487"/>
      <c r="H389" s="487"/>
      <c r="I389" s="487"/>
      <c r="J389" s="487"/>
      <c r="K389" s="487"/>
      <c r="L389" s="487"/>
      <c r="M389" s="487"/>
      <c r="N389" s="487"/>
      <c r="O389" s="487"/>
      <c r="P389" s="487"/>
    </row>
    <row r="390" spans="1:16" ht="16.5" x14ac:dyDescent="0.25">
      <c r="A390" s="488" t="s">
        <v>151</v>
      </c>
      <c r="B390" s="487"/>
      <c r="C390" s="487"/>
      <c r="D390" s="487"/>
      <c r="E390" s="487"/>
      <c r="F390" s="487"/>
      <c r="G390" s="487"/>
      <c r="H390" s="487"/>
      <c r="I390" s="487"/>
      <c r="J390" s="487"/>
      <c r="K390" s="487"/>
      <c r="L390" s="487"/>
      <c r="M390" s="487"/>
      <c r="N390" s="487"/>
      <c r="O390" s="487"/>
      <c r="P390" s="487"/>
    </row>
    <row r="391" spans="1:16" ht="16.5" x14ac:dyDescent="0.25">
      <c r="A391" s="489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487"/>
      <c r="C391" s="487"/>
      <c r="D391" s="487"/>
      <c r="E391" s="487"/>
      <c r="F391" s="487"/>
      <c r="G391" s="487"/>
      <c r="H391" s="487"/>
      <c r="I391" s="487"/>
      <c r="J391" s="487"/>
      <c r="K391" s="487"/>
      <c r="L391" s="487"/>
      <c r="M391" s="487"/>
      <c r="N391" s="487"/>
      <c r="O391" s="487"/>
      <c r="P391" s="487"/>
    </row>
    <row r="392" spans="1:16" ht="12.75" x14ac:dyDescent="0.2">
      <c r="A392" s="487"/>
      <c r="B392" s="487"/>
      <c r="C392" s="487"/>
      <c r="D392" s="487"/>
      <c r="E392" s="487"/>
      <c r="F392" s="487"/>
      <c r="G392" s="487"/>
      <c r="H392" s="487"/>
      <c r="I392" s="487"/>
      <c r="J392" s="487"/>
      <c r="K392" s="487"/>
      <c r="L392" s="487"/>
      <c r="M392" s="487"/>
      <c r="N392" s="487"/>
      <c r="O392" s="487"/>
      <c r="P392" s="487"/>
    </row>
    <row r="393" spans="1:16" ht="12.75" x14ac:dyDescent="0.2">
      <c r="A393" s="487"/>
      <c r="B393" s="487"/>
      <c r="C393" s="487"/>
      <c r="D393" s="487"/>
      <c r="E393" s="487"/>
      <c r="F393" s="487"/>
      <c r="G393" s="487"/>
      <c r="H393" s="487"/>
      <c r="I393" s="487"/>
      <c r="J393" s="487"/>
      <c r="K393" s="487"/>
      <c r="L393" s="487"/>
      <c r="M393" s="487"/>
      <c r="N393" s="487"/>
      <c r="O393" s="487"/>
      <c r="P393" s="487"/>
    </row>
    <row r="394" spans="1:16" ht="12.75" x14ac:dyDescent="0.2">
      <c r="A394" s="487"/>
      <c r="B394" s="487"/>
      <c r="C394" s="487"/>
      <c r="D394" s="487"/>
      <c r="E394" s="487"/>
      <c r="F394" s="487"/>
      <c r="G394" s="487"/>
      <c r="H394" s="487"/>
      <c r="I394" s="487"/>
      <c r="J394" s="487"/>
      <c r="K394" s="487"/>
      <c r="L394" s="487"/>
      <c r="M394" s="487"/>
      <c r="N394" s="487"/>
      <c r="O394" s="487"/>
      <c r="P394" s="487"/>
    </row>
    <row r="395" spans="1:16" ht="12.75" x14ac:dyDescent="0.2">
      <c r="A395" s="487"/>
      <c r="B395" s="487"/>
      <c r="C395" s="487"/>
      <c r="D395" s="487"/>
      <c r="E395" s="487"/>
      <c r="F395" s="487"/>
      <c r="G395" s="487"/>
      <c r="H395" s="487"/>
      <c r="I395" s="487"/>
      <c r="J395" s="487"/>
      <c r="K395" s="487"/>
      <c r="L395" s="487"/>
      <c r="M395" s="487"/>
      <c r="N395" s="487"/>
      <c r="O395" s="487"/>
      <c r="P395" s="487"/>
    </row>
    <row r="396" spans="1:16" ht="12.75" x14ac:dyDescent="0.2">
      <c r="A396" s="487"/>
      <c r="B396" s="487"/>
      <c r="C396" s="487"/>
      <c r="D396" s="487"/>
      <c r="E396" s="487"/>
      <c r="F396" s="487"/>
      <c r="G396" s="487"/>
      <c r="H396" s="487"/>
      <c r="I396" s="487"/>
      <c r="J396" s="487"/>
      <c r="K396" s="487"/>
      <c r="L396" s="487"/>
      <c r="M396" s="487"/>
      <c r="N396" s="487"/>
      <c r="O396" s="487"/>
      <c r="P396" s="487"/>
    </row>
    <row r="397" spans="1:16" ht="12.75" x14ac:dyDescent="0.2">
      <c r="A397" s="487"/>
      <c r="B397" s="487"/>
      <c r="C397" s="487"/>
      <c r="D397" s="487"/>
      <c r="E397" s="487"/>
      <c r="F397" s="487"/>
      <c r="G397" s="487"/>
      <c r="H397" s="487"/>
      <c r="I397" s="487"/>
      <c r="J397" s="487"/>
      <c r="K397" s="487"/>
      <c r="L397" s="487"/>
      <c r="M397" s="487"/>
      <c r="N397" s="487"/>
      <c r="O397" s="487"/>
      <c r="P397" s="487"/>
    </row>
    <row r="398" spans="1:16" ht="12.75" x14ac:dyDescent="0.2">
      <c r="A398" s="487"/>
      <c r="B398" s="487"/>
      <c r="C398" s="487"/>
      <c r="D398" s="487"/>
      <c r="E398" s="487"/>
      <c r="F398" s="487"/>
      <c r="G398" s="487"/>
      <c r="H398" s="487"/>
      <c r="I398" s="487"/>
      <c r="J398" s="487"/>
      <c r="K398" s="487"/>
      <c r="L398" s="487"/>
      <c r="M398" s="487"/>
      <c r="N398" s="487"/>
      <c r="O398" s="487"/>
      <c r="P398" s="487"/>
    </row>
    <row r="399" spans="1:16" ht="12.75" x14ac:dyDescent="0.2">
      <c r="A399" s="487"/>
      <c r="B399" s="487"/>
      <c r="C399" s="487"/>
      <c r="D399" s="487"/>
      <c r="E399" s="487"/>
      <c r="F399" s="487"/>
      <c r="G399" s="487"/>
      <c r="H399" s="487"/>
      <c r="I399" s="487"/>
      <c r="J399" s="487"/>
      <c r="K399" s="487"/>
      <c r="L399" s="487"/>
      <c r="M399" s="487"/>
      <c r="N399" s="487"/>
      <c r="O399" s="487"/>
      <c r="P399" s="487"/>
    </row>
    <row r="400" spans="1:16" ht="12.75" x14ac:dyDescent="0.2">
      <c r="A400" s="487"/>
      <c r="B400" s="487"/>
      <c r="C400" s="487"/>
      <c r="D400" s="487"/>
      <c r="E400" s="487"/>
      <c r="F400" s="487"/>
      <c r="G400" s="487"/>
      <c r="H400" s="487"/>
      <c r="I400" s="487"/>
      <c r="J400" s="487"/>
      <c r="K400" s="487"/>
      <c r="L400" s="487"/>
      <c r="M400" s="487"/>
      <c r="N400" s="487"/>
      <c r="O400" s="487"/>
      <c r="P400" s="487"/>
    </row>
    <row r="401" spans="1:16" ht="12.75" x14ac:dyDescent="0.2">
      <c r="A401" s="487"/>
      <c r="B401" s="487"/>
      <c r="C401" s="487"/>
      <c r="D401" s="487"/>
      <c r="E401" s="487"/>
      <c r="F401" s="487"/>
      <c r="G401" s="487"/>
      <c r="H401" s="487"/>
      <c r="I401" s="487"/>
      <c r="J401" s="487"/>
      <c r="K401" s="487"/>
      <c r="L401" s="487"/>
      <c r="M401" s="487"/>
      <c r="N401" s="487"/>
      <c r="O401" s="487"/>
      <c r="P401" s="487"/>
    </row>
    <row r="402" spans="1:16" ht="12.75" x14ac:dyDescent="0.2">
      <c r="A402" s="487"/>
      <c r="B402" s="487"/>
      <c r="C402" s="487"/>
      <c r="D402" s="487"/>
      <c r="E402" s="487"/>
      <c r="F402" s="487"/>
      <c r="G402" s="487"/>
      <c r="H402" s="487"/>
      <c r="I402" s="487"/>
      <c r="J402" s="487"/>
      <c r="K402" s="487"/>
      <c r="L402" s="487"/>
      <c r="M402" s="487"/>
      <c r="N402" s="487"/>
      <c r="O402" s="487"/>
      <c r="P402" s="487"/>
    </row>
    <row r="403" spans="1:16" ht="12.75" x14ac:dyDescent="0.2">
      <c r="A403" s="487"/>
      <c r="B403" s="487"/>
      <c r="C403" s="487"/>
      <c r="D403" s="487"/>
      <c r="E403" s="487"/>
      <c r="F403" s="487"/>
      <c r="G403" s="487"/>
      <c r="H403" s="487"/>
      <c r="I403" s="487"/>
      <c r="J403" s="487"/>
      <c r="K403" s="487"/>
      <c r="L403" s="487"/>
      <c r="M403" s="487"/>
      <c r="N403" s="487"/>
      <c r="O403" s="487"/>
      <c r="P403" s="487"/>
    </row>
    <row r="404" spans="1:16" ht="12.75" x14ac:dyDescent="0.2">
      <c r="A404" s="487"/>
      <c r="B404" s="487"/>
      <c r="C404" s="487"/>
      <c r="D404" s="487"/>
      <c r="E404" s="487"/>
      <c r="F404" s="487"/>
      <c r="G404" s="487"/>
      <c r="H404" s="487"/>
      <c r="I404" s="487"/>
      <c r="J404" s="487"/>
      <c r="K404" s="487"/>
      <c r="L404" s="487"/>
      <c r="M404" s="487"/>
      <c r="N404" s="487"/>
      <c r="O404" s="487"/>
      <c r="P404" s="487"/>
    </row>
    <row r="405" spans="1:16" ht="12.75" x14ac:dyDescent="0.2">
      <c r="A405" s="487"/>
      <c r="B405" s="487"/>
      <c r="C405" s="487"/>
      <c r="D405" s="487"/>
      <c r="E405" s="487"/>
      <c r="F405" s="487"/>
      <c r="G405" s="487"/>
      <c r="H405" s="487"/>
      <c r="I405" s="487"/>
      <c r="J405" s="487"/>
      <c r="K405" s="487"/>
      <c r="L405" s="487"/>
      <c r="M405" s="487"/>
      <c r="N405" s="487"/>
      <c r="O405" s="487"/>
      <c r="P405" s="487"/>
    </row>
    <row r="406" spans="1:16" ht="12.75" x14ac:dyDescent="0.2">
      <c r="A406" s="487"/>
      <c r="B406" s="487"/>
      <c r="C406" s="487"/>
      <c r="D406" s="487"/>
      <c r="E406" s="487"/>
      <c r="F406" s="487"/>
      <c r="G406" s="487"/>
      <c r="H406" s="487"/>
      <c r="I406" s="487"/>
      <c r="J406" s="487"/>
      <c r="K406" s="487"/>
      <c r="L406" s="487"/>
      <c r="M406" s="487"/>
      <c r="N406" s="487"/>
      <c r="O406" s="487"/>
      <c r="P406" s="487"/>
    </row>
    <row r="407" spans="1:16" ht="12.75" x14ac:dyDescent="0.2">
      <c r="A407" s="487"/>
      <c r="B407" s="487"/>
      <c r="C407" s="487"/>
      <c r="D407" s="487"/>
      <c r="E407" s="487"/>
      <c r="F407" s="487"/>
      <c r="G407" s="487"/>
      <c r="H407" s="487"/>
      <c r="I407" s="487"/>
      <c r="J407" s="487"/>
      <c r="K407" s="487"/>
      <c r="L407" s="487"/>
      <c r="M407" s="487"/>
      <c r="N407" s="487"/>
      <c r="O407" s="487"/>
      <c r="P407" s="487"/>
    </row>
    <row r="408" spans="1:16" ht="12.75" x14ac:dyDescent="0.2">
      <c r="A408" s="487"/>
      <c r="B408" s="487"/>
      <c r="C408" s="487"/>
      <c r="D408" s="487"/>
      <c r="E408" s="487"/>
      <c r="F408" s="487"/>
      <c r="G408" s="487"/>
      <c r="H408" s="487"/>
      <c r="I408" s="487"/>
      <c r="J408" s="487"/>
      <c r="K408" s="487"/>
      <c r="L408" s="487"/>
      <c r="M408" s="487"/>
      <c r="N408" s="487"/>
      <c r="O408" s="487"/>
      <c r="P408" s="487"/>
    </row>
    <row r="409" spans="1:16" ht="12.75" x14ac:dyDescent="0.2">
      <c r="A409" s="487"/>
      <c r="B409" s="487"/>
      <c r="C409" s="487"/>
      <c r="D409" s="487"/>
      <c r="E409" s="487"/>
      <c r="F409" s="487"/>
      <c r="G409" s="487"/>
      <c r="H409" s="487"/>
      <c r="I409" s="487"/>
      <c r="J409" s="487"/>
      <c r="K409" s="487"/>
      <c r="L409" s="487"/>
      <c r="M409" s="487"/>
      <c r="N409" s="487"/>
      <c r="O409" s="487"/>
      <c r="P409" s="487"/>
    </row>
    <row r="410" spans="1:16" ht="12.75" x14ac:dyDescent="0.2">
      <c r="A410" s="487"/>
      <c r="B410" s="487"/>
      <c r="C410" s="487"/>
      <c r="D410" s="487"/>
      <c r="E410" s="487"/>
      <c r="F410" s="487"/>
      <c r="G410" s="487"/>
      <c r="H410" s="487"/>
      <c r="I410" s="487"/>
      <c r="J410" s="487"/>
      <c r="K410" s="487"/>
      <c r="L410" s="487"/>
      <c r="M410" s="487"/>
      <c r="N410" s="487"/>
      <c r="O410" s="487"/>
      <c r="P410" s="487"/>
    </row>
    <row r="411" spans="1:16" ht="12.75" x14ac:dyDescent="0.2">
      <c r="A411" s="487"/>
      <c r="B411" s="487"/>
      <c r="C411" s="487"/>
      <c r="D411" s="487"/>
      <c r="E411" s="487"/>
      <c r="F411" s="487"/>
      <c r="G411" s="487"/>
      <c r="H411" s="487"/>
      <c r="I411" s="487"/>
      <c r="J411" s="487"/>
      <c r="K411" s="487"/>
      <c r="L411" s="487"/>
      <c r="M411" s="487"/>
      <c r="N411" s="487"/>
      <c r="O411" s="487"/>
      <c r="P411" s="487"/>
    </row>
    <row r="412" spans="1:16" ht="12.75" x14ac:dyDescent="0.2">
      <c r="A412" s="487"/>
      <c r="B412" s="487"/>
      <c r="C412" s="487"/>
      <c r="D412" s="487"/>
      <c r="E412" s="487"/>
      <c r="F412" s="487"/>
      <c r="G412" s="487"/>
      <c r="H412" s="487"/>
      <c r="I412" s="487"/>
      <c r="J412" s="487"/>
      <c r="K412" s="487"/>
      <c r="L412" s="487"/>
      <c r="M412" s="487"/>
      <c r="N412" s="487"/>
      <c r="O412" s="487"/>
      <c r="P412" s="487"/>
    </row>
    <row r="413" spans="1:16" ht="12.75" x14ac:dyDescent="0.2">
      <c r="A413" s="487"/>
      <c r="B413" s="487"/>
      <c r="C413" s="487"/>
      <c r="D413" s="487"/>
      <c r="E413" s="487"/>
      <c r="F413" s="487"/>
      <c r="G413" s="487"/>
      <c r="H413" s="487"/>
      <c r="I413" s="487"/>
      <c r="J413" s="487"/>
      <c r="K413" s="487"/>
      <c r="L413" s="487"/>
      <c r="M413" s="487"/>
      <c r="N413" s="487"/>
      <c r="O413" s="487"/>
      <c r="P413" s="487"/>
    </row>
    <row r="414" spans="1:16" ht="12.75" x14ac:dyDescent="0.2">
      <c r="A414" s="487"/>
      <c r="B414" s="487"/>
      <c r="C414" s="487"/>
      <c r="D414" s="487"/>
      <c r="E414" s="487"/>
      <c r="F414" s="487"/>
      <c r="G414" s="487"/>
      <c r="H414" s="487"/>
      <c r="I414" s="487"/>
      <c r="J414" s="487"/>
      <c r="K414" s="487"/>
      <c r="L414" s="487"/>
      <c r="M414" s="487"/>
      <c r="N414" s="487"/>
      <c r="O414" s="487"/>
      <c r="P414" s="487"/>
    </row>
    <row r="415" spans="1:16" ht="12.75" x14ac:dyDescent="0.2">
      <c r="A415" s="487"/>
      <c r="B415" s="487"/>
      <c r="C415" s="487"/>
      <c r="D415" s="487"/>
      <c r="E415" s="487"/>
      <c r="F415" s="487"/>
      <c r="G415" s="487"/>
      <c r="H415" s="487"/>
      <c r="I415" s="487"/>
      <c r="J415" s="487"/>
      <c r="K415" s="487"/>
      <c r="L415" s="487"/>
      <c r="M415" s="487"/>
      <c r="N415" s="487"/>
      <c r="O415" s="487"/>
      <c r="P415" s="487"/>
    </row>
    <row r="416" spans="1:16" ht="12.75" x14ac:dyDescent="0.2">
      <c r="A416" s="487"/>
      <c r="B416" s="487"/>
      <c r="C416" s="487"/>
      <c r="D416" s="487"/>
      <c r="E416" s="487"/>
      <c r="F416" s="487"/>
      <c r="G416" s="487"/>
      <c r="H416" s="487"/>
      <c r="I416" s="487"/>
      <c r="J416" s="487"/>
      <c r="K416" s="487"/>
      <c r="L416" s="487"/>
      <c r="M416" s="487"/>
      <c r="N416" s="487"/>
      <c r="O416" s="487"/>
      <c r="P416" s="487"/>
    </row>
    <row r="417" spans="1:16" ht="12.75" x14ac:dyDescent="0.2">
      <c r="A417" s="487"/>
      <c r="B417" s="487"/>
      <c r="C417" s="487"/>
      <c r="D417" s="487"/>
      <c r="E417" s="487"/>
      <c r="F417" s="487"/>
      <c r="G417" s="487"/>
      <c r="H417" s="487"/>
      <c r="I417" s="487"/>
      <c r="J417" s="487"/>
      <c r="K417" s="487"/>
      <c r="L417" s="487"/>
      <c r="M417" s="487"/>
      <c r="N417" s="487"/>
      <c r="O417" s="487"/>
      <c r="P417" s="487"/>
    </row>
    <row r="418" spans="1:16" ht="12.75" x14ac:dyDescent="0.2">
      <c r="A418" s="487"/>
      <c r="B418" s="487"/>
      <c r="C418" s="487"/>
      <c r="D418" s="487"/>
      <c r="E418" s="487"/>
      <c r="F418" s="487"/>
      <c r="G418" s="487"/>
      <c r="H418" s="487"/>
      <c r="I418" s="487"/>
      <c r="J418" s="487"/>
      <c r="K418" s="487"/>
      <c r="L418" s="487"/>
      <c r="M418" s="487"/>
      <c r="N418" s="487"/>
      <c r="O418" s="487"/>
      <c r="P418" s="487"/>
    </row>
    <row r="419" spans="1:16" ht="12.75" x14ac:dyDescent="0.2">
      <c r="A419" s="487"/>
      <c r="B419" s="487"/>
      <c r="C419" s="487"/>
      <c r="D419" s="487"/>
      <c r="E419" s="487"/>
      <c r="F419" s="487"/>
      <c r="G419" s="487"/>
      <c r="H419" s="487"/>
      <c r="I419" s="487"/>
      <c r="J419" s="487"/>
      <c r="K419" s="487"/>
      <c r="L419" s="487"/>
      <c r="M419" s="487"/>
      <c r="N419" s="487"/>
      <c r="O419" s="487"/>
      <c r="P419" s="487"/>
    </row>
    <row r="420" spans="1:16" ht="12.75" x14ac:dyDescent="0.2">
      <c r="A420" s="487"/>
      <c r="B420" s="487"/>
      <c r="C420" s="487"/>
      <c r="D420" s="487"/>
      <c r="E420" s="487"/>
      <c r="F420" s="487"/>
      <c r="G420" s="487"/>
      <c r="H420" s="487"/>
      <c r="I420" s="487"/>
      <c r="J420" s="487"/>
      <c r="K420" s="487"/>
      <c r="L420" s="487"/>
      <c r="M420" s="487"/>
      <c r="N420" s="487"/>
      <c r="O420" s="487"/>
      <c r="P420" s="487"/>
    </row>
    <row r="421" spans="1:16" ht="12.75" x14ac:dyDescent="0.2">
      <c r="A421" s="487"/>
      <c r="B421" s="487"/>
      <c r="C421" s="487"/>
      <c r="D421" s="487"/>
      <c r="E421" s="487"/>
      <c r="F421" s="487"/>
      <c r="G421" s="487"/>
      <c r="H421" s="487"/>
      <c r="I421" s="487"/>
      <c r="J421" s="487"/>
      <c r="K421" s="487"/>
      <c r="L421" s="487"/>
      <c r="M421" s="487"/>
      <c r="N421" s="487"/>
      <c r="O421" s="487"/>
      <c r="P421" s="487"/>
    </row>
    <row r="422" spans="1:16" ht="12.75" x14ac:dyDescent="0.2">
      <c r="A422" s="487"/>
      <c r="B422" s="487"/>
      <c r="C422" s="487"/>
      <c r="D422" s="487"/>
      <c r="E422" s="487"/>
      <c r="F422" s="487"/>
      <c r="G422" s="487"/>
      <c r="H422" s="487"/>
      <c r="I422" s="487"/>
      <c r="J422" s="487"/>
      <c r="K422" s="487"/>
      <c r="L422" s="487"/>
      <c r="M422" s="487"/>
      <c r="N422" s="487"/>
      <c r="O422" s="487"/>
      <c r="P422" s="487"/>
    </row>
    <row r="423" spans="1:16" ht="12.75" x14ac:dyDescent="0.2">
      <c r="A423" s="487"/>
      <c r="B423" s="487"/>
      <c r="C423" s="487"/>
      <c r="D423" s="487"/>
      <c r="E423" s="487"/>
      <c r="F423" s="487"/>
      <c r="G423" s="487"/>
      <c r="H423" s="487"/>
      <c r="I423" s="487"/>
      <c r="J423" s="487"/>
      <c r="K423" s="487"/>
      <c r="L423" s="487"/>
      <c r="M423" s="487"/>
      <c r="N423" s="487"/>
      <c r="O423" s="487"/>
      <c r="P423" s="487"/>
    </row>
    <row r="424" spans="1:16" ht="12.75" x14ac:dyDescent="0.2">
      <c r="A424" s="487"/>
      <c r="B424" s="487"/>
      <c r="C424" s="487"/>
      <c r="D424" s="487"/>
      <c r="E424" s="487"/>
      <c r="F424" s="487"/>
      <c r="G424" s="487"/>
      <c r="H424" s="487"/>
      <c r="I424" s="487"/>
      <c r="J424" s="487"/>
      <c r="K424" s="487"/>
      <c r="L424" s="487"/>
      <c r="M424" s="487"/>
      <c r="N424" s="487"/>
      <c r="O424" s="487"/>
      <c r="P424" s="487"/>
    </row>
    <row r="425" spans="1:16" ht="12.75" x14ac:dyDescent="0.2">
      <c r="A425" s="487"/>
      <c r="B425" s="487"/>
      <c r="C425" s="487"/>
      <c r="D425" s="487"/>
      <c r="E425" s="487"/>
      <c r="F425" s="487"/>
      <c r="G425" s="487"/>
      <c r="H425" s="487"/>
      <c r="I425" s="487"/>
      <c r="J425" s="487"/>
      <c r="K425" s="487"/>
      <c r="L425" s="487"/>
      <c r="M425" s="487"/>
      <c r="N425" s="487"/>
      <c r="O425" s="487"/>
      <c r="P425" s="487"/>
    </row>
    <row r="426" spans="1:16" ht="12.75" x14ac:dyDescent="0.2">
      <c r="A426" s="487"/>
      <c r="B426" s="487"/>
      <c r="C426" s="487"/>
      <c r="D426" s="487"/>
      <c r="E426" s="487"/>
      <c r="F426" s="487"/>
      <c r="G426" s="487"/>
      <c r="H426" s="487"/>
      <c r="I426" s="487"/>
      <c r="J426" s="487"/>
      <c r="K426" s="487"/>
      <c r="L426" s="487"/>
      <c r="M426" s="487"/>
      <c r="N426" s="487"/>
      <c r="O426" s="487"/>
      <c r="P426" s="487"/>
    </row>
    <row r="427" spans="1:16" ht="12.75" x14ac:dyDescent="0.2">
      <c r="A427" s="487"/>
      <c r="B427" s="487"/>
      <c r="C427" s="487"/>
      <c r="D427" s="487"/>
      <c r="E427" s="487"/>
      <c r="F427" s="487"/>
      <c r="G427" s="487"/>
      <c r="H427" s="487"/>
      <c r="I427" s="487"/>
      <c r="J427" s="487"/>
      <c r="K427" s="487"/>
      <c r="L427" s="487"/>
      <c r="M427" s="487"/>
      <c r="N427" s="487"/>
      <c r="O427" s="487"/>
      <c r="P427" s="487"/>
    </row>
    <row r="428" spans="1:16" ht="12.75" x14ac:dyDescent="0.2">
      <c r="A428" s="487"/>
      <c r="B428" s="487"/>
      <c r="C428" s="487"/>
      <c r="D428" s="487"/>
      <c r="E428" s="487"/>
      <c r="F428" s="487"/>
      <c r="G428" s="487"/>
      <c r="H428" s="487"/>
      <c r="I428" s="487"/>
      <c r="J428" s="487"/>
      <c r="K428" s="487"/>
      <c r="L428" s="487"/>
      <c r="M428" s="487"/>
      <c r="N428" s="487"/>
      <c r="O428" s="487"/>
      <c r="P428" s="487"/>
    </row>
    <row r="429" spans="1:16" ht="12.75" x14ac:dyDescent="0.2">
      <c r="A429" s="487"/>
      <c r="B429" s="487"/>
      <c r="C429" s="487"/>
      <c r="D429" s="487"/>
      <c r="E429" s="487"/>
      <c r="F429" s="487"/>
      <c r="G429" s="487"/>
      <c r="H429" s="487"/>
      <c r="I429" s="487"/>
      <c r="J429" s="487"/>
      <c r="K429" s="487"/>
      <c r="L429" s="487"/>
      <c r="M429" s="487"/>
      <c r="N429" s="487"/>
      <c r="O429" s="487"/>
      <c r="P429" s="487"/>
    </row>
    <row r="430" spans="1:16" ht="12.75" x14ac:dyDescent="0.2">
      <c r="A430" s="487"/>
      <c r="B430" s="487"/>
      <c r="C430" s="487"/>
      <c r="D430" s="487"/>
      <c r="E430" s="487"/>
      <c r="F430" s="487"/>
      <c r="G430" s="487"/>
      <c r="H430" s="487"/>
      <c r="I430" s="487"/>
      <c r="J430" s="487"/>
      <c r="K430" s="487"/>
      <c r="L430" s="487"/>
      <c r="M430" s="487"/>
      <c r="N430" s="487"/>
      <c r="O430" s="487"/>
      <c r="P430" s="487"/>
    </row>
    <row r="431" spans="1:16" ht="12.75" x14ac:dyDescent="0.2">
      <c r="A431" s="487"/>
      <c r="B431" s="487"/>
      <c r="C431" s="487"/>
      <c r="D431" s="487"/>
      <c r="E431" s="487"/>
      <c r="F431" s="487"/>
      <c r="G431" s="487"/>
      <c r="H431" s="487"/>
      <c r="I431" s="487"/>
      <c r="J431" s="487"/>
      <c r="K431" s="487"/>
      <c r="L431" s="487"/>
      <c r="M431" s="487"/>
      <c r="N431" s="487"/>
      <c r="O431" s="487"/>
      <c r="P431" s="487"/>
    </row>
    <row r="432" spans="1:16" ht="12.75" x14ac:dyDescent="0.2">
      <c r="A432" s="487"/>
      <c r="B432" s="487"/>
      <c r="C432" s="487"/>
      <c r="D432" s="487"/>
      <c r="E432" s="487"/>
      <c r="F432" s="487"/>
      <c r="G432" s="487"/>
      <c r="H432" s="487"/>
      <c r="I432" s="487"/>
      <c r="J432" s="487"/>
      <c r="K432" s="487"/>
      <c r="L432" s="487"/>
      <c r="M432" s="487"/>
      <c r="N432" s="487"/>
      <c r="O432" s="487"/>
      <c r="P432" s="487"/>
    </row>
    <row r="433" spans="1:16" ht="12.75" x14ac:dyDescent="0.2">
      <c r="A433" s="487"/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</row>
    <row r="434" spans="1:16" ht="12.75" x14ac:dyDescent="0.2">
      <c r="A434" s="487"/>
      <c r="B434" s="487"/>
      <c r="C434" s="487"/>
      <c r="D434" s="487"/>
      <c r="E434" s="487"/>
      <c r="F434" s="487"/>
      <c r="G434" s="487"/>
      <c r="H434" s="487"/>
      <c r="I434" s="487"/>
      <c r="J434" s="487"/>
      <c r="K434" s="487"/>
      <c r="L434" s="487"/>
      <c r="M434" s="487"/>
      <c r="N434" s="487"/>
      <c r="O434" s="487"/>
      <c r="P434" s="487"/>
    </row>
    <row r="435" spans="1:16" ht="12.75" x14ac:dyDescent="0.2">
      <c r="A435" s="487"/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</row>
    <row r="436" spans="1:16" ht="12.75" x14ac:dyDescent="0.2">
      <c r="A436" s="487"/>
      <c r="B436" s="487"/>
      <c r="C436" s="487"/>
      <c r="D436" s="487"/>
      <c r="E436" s="487"/>
      <c r="F436" s="487"/>
      <c r="G436" s="487"/>
      <c r="H436" s="487"/>
      <c r="I436" s="487"/>
      <c r="J436" s="487"/>
      <c r="K436" s="487"/>
      <c r="L436" s="487"/>
      <c r="M436" s="487"/>
      <c r="N436" s="487"/>
      <c r="O436" s="487"/>
      <c r="P436" s="487"/>
    </row>
    <row r="437" spans="1:16" ht="12.75" x14ac:dyDescent="0.2">
      <c r="A437" s="487"/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</row>
    <row r="438" spans="1:16" ht="12.75" x14ac:dyDescent="0.2">
      <c r="A438" s="487"/>
      <c r="B438" s="487"/>
      <c r="C438" s="487"/>
      <c r="D438" s="487"/>
      <c r="E438" s="487"/>
      <c r="F438" s="487"/>
      <c r="G438" s="487"/>
      <c r="H438" s="487"/>
      <c r="I438" s="487"/>
      <c r="J438" s="487"/>
      <c r="K438" s="487"/>
      <c r="L438" s="487"/>
      <c r="M438" s="487"/>
      <c r="N438" s="487"/>
      <c r="O438" s="487"/>
      <c r="P438" s="487"/>
    </row>
    <row r="439" spans="1:16" ht="12.75" x14ac:dyDescent="0.2">
      <c r="A439" s="487"/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</row>
    <row r="440" spans="1:16" ht="12.75" x14ac:dyDescent="0.2">
      <c r="A440" s="487"/>
      <c r="B440" s="487"/>
      <c r="C440" s="487"/>
      <c r="D440" s="487"/>
      <c r="E440" s="487"/>
      <c r="F440" s="487"/>
      <c r="G440" s="487"/>
      <c r="H440" s="487"/>
      <c r="I440" s="487"/>
      <c r="J440" s="487"/>
      <c r="K440" s="487"/>
      <c r="L440" s="487"/>
      <c r="M440" s="487"/>
      <c r="N440" s="487"/>
      <c r="O440" s="487"/>
      <c r="P440" s="487"/>
    </row>
    <row r="441" spans="1:16" ht="12.75" x14ac:dyDescent="0.2">
      <c r="A441" s="487"/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</row>
    <row r="442" spans="1:16" ht="12.75" x14ac:dyDescent="0.2">
      <c r="A442" s="487"/>
      <c r="B442" s="487"/>
      <c r="C442" s="487"/>
      <c r="D442" s="487"/>
      <c r="E442" s="487"/>
      <c r="F442" s="487"/>
      <c r="G442" s="487"/>
      <c r="H442" s="487"/>
      <c r="I442" s="487"/>
      <c r="J442" s="487"/>
      <c r="K442" s="487"/>
      <c r="L442" s="487"/>
      <c r="M442" s="487"/>
      <c r="N442" s="487"/>
      <c r="O442" s="487"/>
      <c r="P442" s="487"/>
    </row>
    <row r="443" spans="1:16" ht="12.75" x14ac:dyDescent="0.2">
      <c r="A443" s="487"/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</row>
    <row r="444" spans="1:16" ht="12.75" x14ac:dyDescent="0.2">
      <c r="A444" s="487"/>
      <c r="B444" s="487"/>
      <c r="C444" s="487"/>
      <c r="D444" s="487"/>
      <c r="E444" s="487"/>
      <c r="F444" s="487"/>
      <c r="G444" s="487"/>
      <c r="H444" s="487"/>
      <c r="I444" s="487"/>
      <c r="J444" s="487"/>
      <c r="K444" s="487"/>
      <c r="L444" s="487"/>
      <c r="M444" s="487"/>
      <c r="N444" s="487"/>
      <c r="O444" s="487"/>
      <c r="P444" s="487"/>
    </row>
    <row r="445" spans="1:16" ht="12.75" x14ac:dyDescent="0.2">
      <c r="A445" s="487"/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</row>
    <row r="446" spans="1:16" ht="12.75" x14ac:dyDescent="0.2">
      <c r="A446" s="487"/>
      <c r="B446" s="487"/>
      <c r="C446" s="487"/>
      <c r="D446" s="487"/>
      <c r="E446" s="487"/>
      <c r="F446" s="487"/>
      <c r="G446" s="487"/>
      <c r="H446" s="487"/>
      <c r="I446" s="487"/>
      <c r="J446" s="487"/>
      <c r="K446" s="487"/>
      <c r="L446" s="487"/>
      <c r="M446" s="487"/>
      <c r="N446" s="487"/>
      <c r="O446" s="487"/>
      <c r="P446" s="487"/>
    </row>
    <row r="447" spans="1:16" ht="12.75" x14ac:dyDescent="0.2">
      <c r="A447" s="487"/>
      <c r="B447" s="487"/>
      <c r="C447" s="487"/>
      <c r="D447" s="487"/>
      <c r="E447" s="487"/>
      <c r="F447" s="487"/>
      <c r="G447" s="487"/>
      <c r="H447" s="487"/>
      <c r="I447" s="487"/>
      <c r="J447" s="487"/>
      <c r="K447" s="487"/>
      <c r="L447" s="487"/>
      <c r="M447" s="487"/>
      <c r="N447" s="487"/>
      <c r="O447" s="487"/>
      <c r="P447" s="487"/>
    </row>
    <row r="448" spans="1:16" ht="12.75" x14ac:dyDescent="0.2">
      <c r="A448" s="487"/>
      <c r="B448" s="487"/>
      <c r="C448" s="487"/>
      <c r="D448" s="487"/>
      <c r="E448" s="487"/>
      <c r="F448" s="487"/>
      <c r="G448" s="487"/>
      <c r="H448" s="487"/>
      <c r="I448" s="487"/>
      <c r="J448" s="487"/>
      <c r="K448" s="487"/>
      <c r="L448" s="487"/>
      <c r="M448" s="487"/>
      <c r="N448" s="487"/>
      <c r="O448" s="487"/>
      <c r="P448" s="487"/>
    </row>
    <row r="449" spans="1:16" ht="12.75" x14ac:dyDescent="0.2">
      <c r="A449" s="487"/>
      <c r="B449" s="487"/>
      <c r="C449" s="487"/>
      <c r="D449" s="487"/>
      <c r="E449" s="487"/>
      <c r="F449" s="487"/>
      <c r="G449" s="487"/>
      <c r="H449" s="487"/>
      <c r="I449" s="487"/>
      <c r="J449" s="487"/>
      <c r="K449" s="487"/>
      <c r="L449" s="487"/>
      <c r="M449" s="487"/>
      <c r="N449" s="487"/>
      <c r="O449" s="487"/>
      <c r="P449" s="487"/>
    </row>
    <row r="450" spans="1:16" ht="12.75" x14ac:dyDescent="0.2">
      <c r="A450" s="487"/>
      <c r="B450" s="487"/>
      <c r="C450" s="487"/>
      <c r="D450" s="487"/>
      <c r="E450" s="487"/>
      <c r="F450" s="487"/>
      <c r="G450" s="487"/>
      <c r="H450" s="487"/>
      <c r="I450" s="487"/>
      <c r="J450" s="487"/>
      <c r="K450" s="487"/>
      <c r="L450" s="487"/>
      <c r="M450" s="487"/>
      <c r="N450" s="487"/>
      <c r="O450" s="487"/>
      <c r="P450" s="487"/>
    </row>
    <row r="451" spans="1:16" ht="12.75" x14ac:dyDescent="0.2">
      <c r="A451" s="487"/>
      <c r="B451" s="487"/>
      <c r="C451" s="487"/>
      <c r="D451" s="487"/>
      <c r="E451" s="487"/>
      <c r="F451" s="487"/>
      <c r="G451" s="487"/>
      <c r="H451" s="487"/>
      <c r="I451" s="487"/>
      <c r="J451" s="487"/>
      <c r="K451" s="487"/>
      <c r="L451" s="487"/>
      <c r="M451" s="487"/>
      <c r="N451" s="487"/>
      <c r="O451" s="487"/>
      <c r="P451" s="487"/>
    </row>
    <row r="452" spans="1:16" ht="12.75" x14ac:dyDescent="0.2">
      <c r="A452" s="487"/>
      <c r="B452" s="487"/>
      <c r="C452" s="487"/>
      <c r="D452" s="487"/>
      <c r="E452" s="487"/>
      <c r="F452" s="487"/>
      <c r="G452" s="487"/>
      <c r="H452" s="487"/>
      <c r="I452" s="487"/>
      <c r="J452" s="487"/>
      <c r="K452" s="487"/>
      <c r="L452" s="487"/>
      <c r="M452" s="487"/>
      <c r="N452" s="487"/>
      <c r="O452" s="487"/>
      <c r="P452" s="487"/>
    </row>
    <row r="453" spans="1:16" ht="12.75" x14ac:dyDescent="0.2">
      <c r="A453" s="487"/>
      <c r="B453" s="487"/>
      <c r="C453" s="487"/>
      <c r="D453" s="487"/>
      <c r="E453" s="487"/>
      <c r="F453" s="487"/>
      <c r="G453" s="487"/>
      <c r="H453" s="487"/>
      <c r="I453" s="487"/>
      <c r="J453" s="487"/>
      <c r="K453" s="487"/>
      <c r="L453" s="487"/>
      <c r="M453" s="487"/>
      <c r="N453" s="487"/>
      <c r="O453" s="487"/>
      <c r="P453" s="487"/>
    </row>
    <row r="454" spans="1:16" ht="12.75" x14ac:dyDescent="0.2">
      <c r="A454" s="487"/>
      <c r="B454" s="487"/>
      <c r="C454" s="487"/>
      <c r="D454" s="487"/>
      <c r="E454" s="487"/>
      <c r="F454" s="487"/>
      <c r="G454" s="487"/>
      <c r="H454" s="487"/>
      <c r="I454" s="487"/>
      <c r="J454" s="487"/>
      <c r="K454" s="487"/>
      <c r="L454" s="487"/>
      <c r="M454" s="487"/>
      <c r="N454" s="487"/>
      <c r="O454" s="487"/>
      <c r="P454" s="487"/>
    </row>
    <row r="455" spans="1:16" ht="12.75" x14ac:dyDescent="0.2">
      <c r="A455" s="487"/>
      <c r="B455" s="487"/>
      <c r="C455" s="487"/>
      <c r="D455" s="487"/>
      <c r="E455" s="487"/>
      <c r="F455" s="487"/>
      <c r="G455" s="487"/>
      <c r="H455" s="487"/>
      <c r="I455" s="487"/>
      <c r="J455" s="487"/>
      <c r="K455" s="487"/>
      <c r="L455" s="487"/>
      <c r="M455" s="487"/>
      <c r="N455" s="487"/>
      <c r="O455" s="487"/>
      <c r="P455" s="487"/>
    </row>
    <row r="456" spans="1:16" ht="12.75" x14ac:dyDescent="0.2">
      <c r="A456" s="487"/>
      <c r="B456" s="487"/>
      <c r="C456" s="487"/>
      <c r="D456" s="487"/>
      <c r="E456" s="487"/>
      <c r="F456" s="487"/>
      <c r="G456" s="487"/>
      <c r="H456" s="487"/>
      <c r="I456" s="487"/>
      <c r="J456" s="487"/>
      <c r="K456" s="487"/>
      <c r="L456" s="487"/>
      <c r="M456" s="487"/>
      <c r="N456" s="487"/>
      <c r="O456" s="487"/>
      <c r="P456" s="487"/>
    </row>
    <row r="457" spans="1:16" ht="12.75" x14ac:dyDescent="0.2">
      <c r="A457" s="487"/>
      <c r="B457" s="487"/>
      <c r="C457" s="487"/>
      <c r="D457" s="487"/>
      <c r="E457" s="487"/>
      <c r="F457" s="487"/>
      <c r="G457" s="487"/>
      <c r="H457" s="487"/>
      <c r="I457" s="487"/>
      <c r="J457" s="487"/>
      <c r="K457" s="487"/>
      <c r="L457" s="487"/>
      <c r="M457" s="487"/>
      <c r="N457" s="487"/>
      <c r="O457" s="487"/>
      <c r="P457" s="487"/>
    </row>
    <row r="458" spans="1:16" ht="12.75" x14ac:dyDescent="0.2">
      <c r="A458" s="487"/>
      <c r="B458" s="487"/>
      <c r="C458" s="487"/>
      <c r="D458" s="487"/>
      <c r="E458" s="487"/>
      <c r="F458" s="487"/>
      <c r="G458" s="487"/>
      <c r="H458" s="487"/>
      <c r="I458" s="487"/>
      <c r="J458" s="487"/>
      <c r="K458" s="487"/>
      <c r="L458" s="487"/>
      <c r="M458" s="487"/>
      <c r="N458" s="487"/>
      <c r="O458" s="487"/>
      <c r="P458" s="487"/>
    </row>
    <row r="459" spans="1:16" ht="12.75" x14ac:dyDescent="0.2">
      <c r="A459" s="487"/>
      <c r="B459" s="487"/>
      <c r="C459" s="487"/>
      <c r="D459" s="487"/>
      <c r="E459" s="487"/>
      <c r="F459" s="487"/>
      <c r="G459" s="487"/>
      <c r="H459" s="487"/>
      <c r="I459" s="487"/>
      <c r="J459" s="487"/>
      <c r="K459" s="487"/>
      <c r="L459" s="487"/>
      <c r="M459" s="487"/>
      <c r="N459" s="487"/>
      <c r="O459" s="487"/>
      <c r="P459" s="487"/>
    </row>
    <row r="460" spans="1:16" ht="12.75" x14ac:dyDescent="0.2">
      <c r="A460" s="487"/>
      <c r="B460" s="487"/>
      <c r="C460" s="487"/>
      <c r="D460" s="487"/>
      <c r="E460" s="487"/>
      <c r="F460" s="487"/>
      <c r="G460" s="487"/>
      <c r="H460" s="487"/>
      <c r="I460" s="487"/>
      <c r="J460" s="487"/>
      <c r="K460" s="487"/>
      <c r="L460" s="487"/>
      <c r="M460" s="487"/>
      <c r="N460" s="487"/>
      <c r="O460" s="487"/>
      <c r="P460" s="487"/>
    </row>
    <row r="461" spans="1:16" ht="12.75" x14ac:dyDescent="0.2">
      <c r="A461" s="487"/>
      <c r="B461" s="487"/>
      <c r="C461" s="487"/>
      <c r="D461" s="487"/>
      <c r="E461" s="487"/>
      <c r="F461" s="487"/>
      <c r="G461" s="487"/>
      <c r="H461" s="487"/>
      <c r="I461" s="487"/>
      <c r="J461" s="487"/>
      <c r="K461" s="487"/>
      <c r="L461" s="487"/>
      <c r="M461" s="487"/>
      <c r="N461" s="487"/>
      <c r="O461" s="487"/>
      <c r="P461" s="487"/>
    </row>
    <row r="462" spans="1:16" ht="12.75" x14ac:dyDescent="0.2">
      <c r="A462" s="487"/>
      <c r="B462" s="487"/>
      <c r="C462" s="487"/>
      <c r="D462" s="487"/>
      <c r="E462" s="487"/>
      <c r="F462" s="487"/>
      <c r="G462" s="487"/>
      <c r="H462" s="487"/>
      <c r="I462" s="487"/>
      <c r="J462" s="487"/>
      <c r="K462" s="487"/>
      <c r="L462" s="487"/>
      <c r="M462" s="487"/>
      <c r="N462" s="487"/>
      <c r="O462" s="487"/>
      <c r="P462" s="487"/>
    </row>
    <row r="463" spans="1:16" ht="12.75" x14ac:dyDescent="0.2">
      <c r="A463" s="487"/>
      <c r="B463" s="487"/>
      <c r="C463" s="487"/>
      <c r="D463" s="487"/>
      <c r="E463" s="487"/>
      <c r="F463" s="487"/>
      <c r="G463" s="487"/>
      <c r="H463" s="487"/>
      <c r="I463" s="487"/>
      <c r="J463" s="487"/>
      <c r="K463" s="487"/>
      <c r="L463" s="487"/>
      <c r="M463" s="487"/>
      <c r="N463" s="487"/>
      <c r="O463" s="487"/>
      <c r="P463" s="487"/>
    </row>
    <row r="464" spans="1:16" ht="12.75" x14ac:dyDescent="0.2">
      <c r="A464" s="487"/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</row>
    <row r="465" spans="1:16" ht="12.75" x14ac:dyDescent="0.2">
      <c r="A465" s="487"/>
      <c r="B465" s="487"/>
      <c r="C465" s="487"/>
      <c r="D465" s="487"/>
      <c r="E465" s="487"/>
      <c r="F465" s="487"/>
      <c r="G465" s="487"/>
      <c r="H465" s="487"/>
      <c r="I465" s="487"/>
      <c r="J465" s="487"/>
      <c r="K465" s="487"/>
      <c r="L465" s="487"/>
      <c r="M465" s="487"/>
      <c r="N465" s="487"/>
      <c r="O465" s="487"/>
      <c r="P465" s="487"/>
    </row>
    <row r="466" spans="1:16" ht="12.75" x14ac:dyDescent="0.2">
      <c r="A466" s="487"/>
      <c r="B466" s="487"/>
      <c r="C466" s="487"/>
      <c r="D466" s="487"/>
      <c r="E466" s="487"/>
      <c r="F466" s="487"/>
      <c r="G466" s="487"/>
      <c r="H466" s="487"/>
      <c r="I466" s="487"/>
      <c r="J466" s="487"/>
      <c r="K466" s="487"/>
      <c r="L466" s="487"/>
      <c r="M466" s="487"/>
      <c r="N466" s="487"/>
      <c r="O466" s="487"/>
      <c r="P466" s="487"/>
    </row>
    <row r="467" spans="1:16" ht="12.75" x14ac:dyDescent="0.2">
      <c r="A467" s="487"/>
      <c r="B467" s="487"/>
      <c r="C467" s="487"/>
      <c r="D467" s="487"/>
      <c r="E467" s="487"/>
      <c r="F467" s="487"/>
      <c r="G467" s="487"/>
      <c r="H467" s="487"/>
      <c r="I467" s="487"/>
      <c r="J467" s="487"/>
      <c r="K467" s="487"/>
      <c r="L467" s="487"/>
      <c r="M467" s="487"/>
      <c r="N467" s="487"/>
      <c r="O467" s="487"/>
      <c r="P467" s="487"/>
    </row>
    <row r="468" spans="1:16" ht="12.75" x14ac:dyDescent="0.2">
      <c r="A468" s="487"/>
      <c r="B468" s="487"/>
      <c r="C468" s="487"/>
      <c r="D468" s="487"/>
      <c r="E468" s="487"/>
      <c r="F468" s="487"/>
      <c r="G468" s="487"/>
      <c r="H468" s="487"/>
      <c r="I468" s="487"/>
      <c r="J468" s="487"/>
      <c r="K468" s="487"/>
      <c r="L468" s="487"/>
      <c r="M468" s="487"/>
      <c r="N468" s="487"/>
      <c r="O468" s="487"/>
      <c r="P468" s="487"/>
    </row>
    <row r="469" spans="1:16" ht="12.75" x14ac:dyDescent="0.2">
      <c r="A469" s="487"/>
      <c r="B469" s="487"/>
      <c r="C469" s="487"/>
      <c r="D469" s="487"/>
      <c r="E469" s="487"/>
      <c r="F469" s="487"/>
      <c r="G469" s="487"/>
      <c r="H469" s="487"/>
      <c r="I469" s="487"/>
      <c r="J469" s="487"/>
      <c r="K469" s="487"/>
      <c r="L469" s="487"/>
      <c r="M469" s="487"/>
      <c r="N469" s="487"/>
      <c r="O469" s="487"/>
      <c r="P469" s="487"/>
    </row>
    <row r="470" spans="1:16" ht="12.75" x14ac:dyDescent="0.2">
      <c r="A470" s="487"/>
      <c r="B470" s="487"/>
      <c r="C470" s="487"/>
      <c r="D470" s="487"/>
      <c r="E470" s="487"/>
      <c r="F470" s="487"/>
      <c r="G470" s="487"/>
      <c r="H470" s="487"/>
      <c r="I470" s="487"/>
      <c r="J470" s="487"/>
      <c r="K470" s="487"/>
      <c r="L470" s="487"/>
      <c r="M470" s="487"/>
      <c r="N470" s="487"/>
      <c r="O470" s="487"/>
      <c r="P470" s="487"/>
    </row>
    <row r="471" spans="1:16" ht="12.75" x14ac:dyDescent="0.2">
      <c r="A471" s="487"/>
      <c r="B471" s="487"/>
      <c r="C471" s="487"/>
      <c r="D471" s="487"/>
      <c r="E471" s="487"/>
      <c r="F471" s="487"/>
      <c r="G471" s="487"/>
      <c r="H471" s="487"/>
      <c r="I471" s="487"/>
      <c r="J471" s="487"/>
      <c r="K471" s="487"/>
      <c r="L471" s="487"/>
      <c r="M471" s="487"/>
      <c r="N471" s="487"/>
      <c r="O471" s="487"/>
      <c r="P471" s="487"/>
    </row>
    <row r="472" spans="1:16" ht="12.75" x14ac:dyDescent="0.2">
      <c r="A472" s="487"/>
      <c r="B472" s="487"/>
      <c r="C472" s="487"/>
      <c r="D472" s="487"/>
      <c r="E472" s="487"/>
      <c r="F472" s="487"/>
      <c r="G472" s="487"/>
      <c r="H472" s="487"/>
      <c r="I472" s="487"/>
      <c r="J472" s="487"/>
      <c r="K472" s="487"/>
      <c r="L472" s="487"/>
      <c r="M472" s="487"/>
      <c r="N472" s="487"/>
      <c r="O472" s="487"/>
      <c r="P472" s="487"/>
    </row>
    <row r="473" spans="1:16" ht="12.75" x14ac:dyDescent="0.2">
      <c r="A473" s="487"/>
      <c r="B473" s="487"/>
      <c r="C473" s="487"/>
      <c r="D473" s="487"/>
      <c r="E473" s="487"/>
      <c r="F473" s="487"/>
      <c r="G473" s="487"/>
      <c r="H473" s="487"/>
      <c r="I473" s="487"/>
      <c r="J473" s="487"/>
      <c r="K473" s="487"/>
      <c r="L473" s="487"/>
      <c r="M473" s="487"/>
      <c r="N473" s="487"/>
      <c r="O473" s="487"/>
      <c r="P473" s="487"/>
    </row>
    <row r="474" spans="1:16" ht="12.75" x14ac:dyDescent="0.2">
      <c r="A474" s="487"/>
      <c r="B474" s="487"/>
      <c r="C474" s="487"/>
      <c r="D474" s="487"/>
      <c r="E474" s="487"/>
      <c r="F474" s="487"/>
      <c r="G474" s="487"/>
      <c r="H474" s="487"/>
      <c r="I474" s="487"/>
      <c r="J474" s="487"/>
      <c r="K474" s="487"/>
      <c r="L474" s="487"/>
      <c r="M474" s="487"/>
      <c r="N474" s="487"/>
      <c r="O474" s="487"/>
      <c r="P474" s="487"/>
    </row>
    <row r="475" spans="1:16" ht="12.75" x14ac:dyDescent="0.2">
      <c r="A475" s="487"/>
      <c r="B475" s="487"/>
      <c r="C475" s="487"/>
      <c r="D475" s="487"/>
      <c r="E475" s="487"/>
      <c r="F475" s="487"/>
      <c r="G475" s="487"/>
      <c r="H475" s="487"/>
      <c r="I475" s="487"/>
      <c r="J475" s="487"/>
      <c r="K475" s="487"/>
      <c r="L475" s="487"/>
      <c r="M475" s="487"/>
      <c r="N475" s="487"/>
      <c r="O475" s="487"/>
      <c r="P475" s="487"/>
    </row>
    <row r="476" spans="1:16" ht="12.75" x14ac:dyDescent="0.2">
      <c r="A476" s="487"/>
      <c r="B476" s="487"/>
      <c r="C476" s="487"/>
      <c r="D476" s="487"/>
      <c r="E476" s="487"/>
      <c r="F476" s="487"/>
      <c r="G476" s="487"/>
      <c r="H476" s="487"/>
      <c r="I476" s="487"/>
      <c r="J476" s="487"/>
      <c r="K476" s="487"/>
      <c r="L476" s="487"/>
      <c r="M476" s="487"/>
      <c r="N476" s="487"/>
      <c r="O476" s="487"/>
      <c r="P476" s="487"/>
    </row>
    <row r="477" spans="1:16" ht="12.75" x14ac:dyDescent="0.2">
      <c r="A477" s="487"/>
      <c r="B477" s="487"/>
      <c r="C477" s="487"/>
      <c r="D477" s="487"/>
      <c r="E477" s="487"/>
      <c r="F477" s="487"/>
      <c r="G477" s="487"/>
      <c r="H477" s="487"/>
      <c r="I477" s="487"/>
      <c r="J477" s="487"/>
      <c r="K477" s="487"/>
      <c r="L477" s="487"/>
      <c r="M477" s="487"/>
      <c r="N477" s="487"/>
      <c r="O477" s="487"/>
      <c r="P477" s="487"/>
    </row>
    <row r="478" spans="1:16" ht="12.75" x14ac:dyDescent="0.2">
      <c r="A478" s="487"/>
      <c r="B478" s="487"/>
      <c r="C478" s="487"/>
      <c r="D478" s="487"/>
      <c r="E478" s="487"/>
      <c r="F478" s="487"/>
      <c r="G478" s="487"/>
      <c r="H478" s="487"/>
      <c r="I478" s="487"/>
      <c r="J478" s="487"/>
      <c r="K478" s="487"/>
      <c r="L478" s="487"/>
      <c r="M478" s="487"/>
      <c r="N478" s="487"/>
      <c r="O478" s="487"/>
      <c r="P478" s="487"/>
    </row>
    <row r="479" spans="1:16" ht="12.75" x14ac:dyDescent="0.2">
      <c r="A479" s="487"/>
      <c r="B479" s="487"/>
      <c r="C479" s="487"/>
      <c r="D479" s="487"/>
      <c r="E479" s="487"/>
      <c r="F479" s="487"/>
      <c r="G479" s="487"/>
      <c r="H479" s="487"/>
      <c r="I479" s="487"/>
      <c r="J479" s="487"/>
      <c r="K479" s="487"/>
      <c r="L479" s="487"/>
      <c r="M479" s="487"/>
      <c r="N479" s="487"/>
      <c r="O479" s="487"/>
      <c r="P479" s="487"/>
    </row>
    <row r="480" spans="1:16" ht="12.75" x14ac:dyDescent="0.2">
      <c r="A480" s="487"/>
      <c r="B480" s="487"/>
      <c r="C480" s="487"/>
      <c r="D480" s="487"/>
      <c r="E480" s="487"/>
      <c r="F480" s="487"/>
      <c r="G480" s="487"/>
      <c r="H480" s="487"/>
      <c r="I480" s="487"/>
      <c r="J480" s="487"/>
      <c r="K480" s="487"/>
      <c r="L480" s="487"/>
      <c r="M480" s="487"/>
      <c r="N480" s="487"/>
      <c r="O480" s="487"/>
      <c r="P480" s="487"/>
    </row>
    <row r="481" spans="1:16" ht="12.75" x14ac:dyDescent="0.2">
      <c r="A481" s="487"/>
      <c r="B481" s="487"/>
      <c r="C481" s="487"/>
      <c r="D481" s="487"/>
      <c r="E481" s="487"/>
      <c r="F481" s="487"/>
      <c r="G481" s="487"/>
      <c r="H481" s="487"/>
      <c r="I481" s="487"/>
      <c r="J481" s="487"/>
      <c r="K481" s="487"/>
      <c r="L481" s="487"/>
      <c r="M481" s="487"/>
      <c r="N481" s="487"/>
      <c r="O481" s="487"/>
      <c r="P481" s="487"/>
    </row>
    <row r="482" spans="1:16" ht="12.75" x14ac:dyDescent="0.2">
      <c r="A482" s="487"/>
      <c r="B482" s="487"/>
      <c r="C482" s="487"/>
      <c r="D482" s="487"/>
      <c r="E482" s="487"/>
      <c r="F482" s="487"/>
      <c r="G482" s="487"/>
      <c r="H482" s="487"/>
      <c r="I482" s="487"/>
      <c r="J482" s="487"/>
      <c r="K482" s="487"/>
      <c r="L482" s="487"/>
      <c r="M482" s="487"/>
      <c r="N482" s="487"/>
      <c r="O482" s="487"/>
      <c r="P482" s="487"/>
    </row>
    <row r="483" spans="1:16" ht="12.75" x14ac:dyDescent="0.2">
      <c r="A483" s="487"/>
      <c r="B483" s="487"/>
      <c r="C483" s="487"/>
      <c r="D483" s="487"/>
      <c r="E483" s="487"/>
      <c r="F483" s="487"/>
      <c r="G483" s="487"/>
      <c r="H483" s="487"/>
      <c r="I483" s="487"/>
      <c r="J483" s="487"/>
      <c r="K483" s="487"/>
      <c r="L483" s="487"/>
      <c r="M483" s="487"/>
      <c r="N483" s="487"/>
      <c r="O483" s="487"/>
      <c r="P483" s="487"/>
    </row>
    <row r="484" spans="1:16" ht="12.75" x14ac:dyDescent="0.2">
      <c r="A484" s="487"/>
      <c r="B484" s="487"/>
      <c r="C484" s="487"/>
      <c r="D484" s="487"/>
      <c r="E484" s="487"/>
      <c r="F484" s="487"/>
      <c r="G484" s="487"/>
      <c r="H484" s="487"/>
      <c r="I484" s="487"/>
      <c r="J484" s="487"/>
      <c r="K484" s="487"/>
      <c r="L484" s="487"/>
      <c r="M484" s="487"/>
      <c r="N484" s="487"/>
      <c r="O484" s="487"/>
      <c r="P484" s="487"/>
    </row>
    <row r="485" spans="1:16" ht="12.75" x14ac:dyDescent="0.2">
      <c r="A485" s="487"/>
      <c r="B485" s="487"/>
      <c r="C485" s="487"/>
      <c r="D485" s="487"/>
      <c r="E485" s="487"/>
      <c r="F485" s="487"/>
      <c r="G485" s="487"/>
      <c r="H485" s="487"/>
      <c r="I485" s="487"/>
      <c r="J485" s="487"/>
      <c r="K485" s="487"/>
      <c r="L485" s="487"/>
      <c r="M485" s="487"/>
      <c r="N485" s="487"/>
      <c r="O485" s="487"/>
      <c r="P485" s="487"/>
    </row>
    <row r="486" spans="1:16" ht="12.75" x14ac:dyDescent="0.2">
      <c r="A486" s="487"/>
      <c r="B486" s="487"/>
      <c r="C486" s="487"/>
      <c r="D486" s="487"/>
      <c r="E486" s="487"/>
      <c r="F486" s="487"/>
      <c r="G486" s="487"/>
      <c r="H486" s="487"/>
      <c r="I486" s="487"/>
      <c r="J486" s="487"/>
      <c r="K486" s="487"/>
      <c r="L486" s="487"/>
      <c r="M486" s="487"/>
      <c r="N486" s="487"/>
      <c r="O486" s="487"/>
      <c r="P486" s="487"/>
    </row>
    <row r="487" spans="1:16" ht="12.75" x14ac:dyDescent="0.2">
      <c r="A487" s="487"/>
      <c r="B487" s="487"/>
      <c r="C487" s="487"/>
      <c r="D487" s="487"/>
      <c r="E487" s="487"/>
      <c r="F487" s="487"/>
      <c r="G487" s="487"/>
      <c r="H487" s="487"/>
      <c r="I487" s="487"/>
      <c r="J487" s="487"/>
      <c r="K487" s="487"/>
      <c r="L487" s="487"/>
      <c r="M487" s="487"/>
      <c r="N487" s="487"/>
      <c r="O487" s="487"/>
      <c r="P487" s="487"/>
    </row>
    <row r="488" spans="1:16" ht="12.75" x14ac:dyDescent="0.2">
      <c r="A488" s="487"/>
      <c r="B488" s="487"/>
      <c r="C488" s="487"/>
      <c r="D488" s="487"/>
      <c r="E488" s="487"/>
      <c r="F488" s="487"/>
      <c r="G488" s="487"/>
      <c r="H488" s="487"/>
      <c r="I488" s="487"/>
      <c r="J488" s="487"/>
      <c r="K488" s="487"/>
      <c r="L488" s="487"/>
      <c r="M488" s="487"/>
      <c r="N488" s="487"/>
      <c r="O488" s="487"/>
      <c r="P488" s="487"/>
    </row>
    <row r="489" spans="1:16" ht="12.75" x14ac:dyDescent="0.2">
      <c r="A489" s="487"/>
      <c r="B489" s="487"/>
      <c r="C489" s="487"/>
      <c r="D489" s="487"/>
      <c r="E489" s="487"/>
      <c r="F489" s="487"/>
      <c r="G489" s="487"/>
      <c r="H489" s="487"/>
      <c r="I489" s="487"/>
      <c r="J489" s="487"/>
      <c r="K489" s="487"/>
      <c r="L489" s="487"/>
      <c r="M489" s="487"/>
      <c r="N489" s="487"/>
      <c r="O489" s="487"/>
      <c r="P489" s="487"/>
    </row>
    <row r="490" spans="1:16" ht="12.75" x14ac:dyDescent="0.2">
      <c r="A490" s="487"/>
      <c r="B490" s="487"/>
      <c r="C490" s="487"/>
      <c r="D490" s="487"/>
      <c r="E490" s="487"/>
      <c r="F490" s="487"/>
      <c r="G490" s="487"/>
      <c r="H490" s="487"/>
      <c r="I490" s="487"/>
      <c r="J490" s="487"/>
      <c r="K490" s="487"/>
      <c r="L490" s="487"/>
      <c r="M490" s="487"/>
      <c r="N490" s="487"/>
      <c r="O490" s="487"/>
      <c r="P490" s="487"/>
    </row>
    <row r="491" spans="1:16" ht="12.75" x14ac:dyDescent="0.2">
      <c r="A491" s="487"/>
      <c r="B491" s="487"/>
      <c r="C491" s="487"/>
      <c r="D491" s="487"/>
      <c r="E491" s="487"/>
      <c r="F491" s="487"/>
      <c r="G491" s="487"/>
      <c r="H491" s="487"/>
      <c r="I491" s="487"/>
      <c r="J491" s="487"/>
      <c r="K491" s="487"/>
      <c r="L491" s="487"/>
      <c r="M491" s="487"/>
      <c r="N491" s="487"/>
      <c r="O491" s="487"/>
      <c r="P491" s="487"/>
    </row>
    <row r="492" spans="1:16" ht="12.75" x14ac:dyDescent="0.2">
      <c r="A492" s="487"/>
      <c r="B492" s="487"/>
      <c r="C492" s="487"/>
      <c r="D492" s="487"/>
      <c r="E492" s="487"/>
      <c r="F492" s="487"/>
      <c r="G492" s="487"/>
      <c r="H492" s="487"/>
      <c r="I492" s="487"/>
      <c r="J492" s="487"/>
      <c r="K492" s="487"/>
      <c r="L492" s="487"/>
      <c r="M492" s="487"/>
      <c r="N492" s="487"/>
      <c r="O492" s="487"/>
      <c r="P492" s="487"/>
    </row>
    <row r="493" spans="1:16" ht="12.75" x14ac:dyDescent="0.2">
      <c r="A493" s="487"/>
      <c r="B493" s="487"/>
      <c r="C493" s="487"/>
      <c r="D493" s="487"/>
      <c r="E493" s="487"/>
      <c r="F493" s="487"/>
      <c r="G493" s="487"/>
      <c r="H493" s="487"/>
      <c r="I493" s="487"/>
      <c r="J493" s="487"/>
      <c r="K493" s="487"/>
      <c r="L493" s="487"/>
      <c r="M493" s="487"/>
      <c r="N493" s="487"/>
      <c r="O493" s="487"/>
      <c r="P493" s="487"/>
    </row>
    <row r="494" spans="1:16" ht="12.75" x14ac:dyDescent="0.2">
      <c r="A494" s="487"/>
      <c r="B494" s="487"/>
      <c r="C494" s="487"/>
      <c r="D494" s="487"/>
      <c r="E494" s="487"/>
      <c r="F494" s="487"/>
      <c r="G494" s="487"/>
      <c r="H494" s="487"/>
      <c r="I494" s="487"/>
      <c r="J494" s="487"/>
      <c r="K494" s="487"/>
      <c r="L494" s="487"/>
      <c r="M494" s="487"/>
      <c r="N494" s="487"/>
      <c r="O494" s="487"/>
      <c r="P494" s="487"/>
    </row>
    <row r="495" spans="1:16" ht="12.75" x14ac:dyDescent="0.2">
      <c r="A495" s="487"/>
      <c r="B495" s="487"/>
      <c r="C495" s="487"/>
      <c r="D495" s="487"/>
      <c r="E495" s="487"/>
      <c r="F495" s="487"/>
      <c r="G495" s="487"/>
      <c r="H495" s="487"/>
      <c r="I495" s="487"/>
      <c r="J495" s="487"/>
      <c r="K495" s="487"/>
      <c r="L495" s="487"/>
      <c r="M495" s="487"/>
      <c r="N495" s="487"/>
      <c r="O495" s="487"/>
      <c r="P495" s="487"/>
    </row>
    <row r="496" spans="1:16" ht="12.75" x14ac:dyDescent="0.2">
      <c r="A496" s="487"/>
      <c r="B496" s="487"/>
      <c r="C496" s="487"/>
      <c r="D496" s="487"/>
      <c r="E496" s="487"/>
      <c r="F496" s="487"/>
      <c r="G496" s="487"/>
      <c r="H496" s="487"/>
      <c r="I496" s="487"/>
      <c r="J496" s="487"/>
      <c r="K496" s="487"/>
      <c r="L496" s="487"/>
      <c r="M496" s="487"/>
      <c r="N496" s="487"/>
      <c r="O496" s="487"/>
      <c r="P496" s="487"/>
    </row>
    <row r="497" spans="1:16" ht="12.75" x14ac:dyDescent="0.2">
      <c r="A497" s="487"/>
      <c r="B497" s="487"/>
      <c r="C497" s="487"/>
      <c r="D497" s="487"/>
      <c r="E497" s="487"/>
      <c r="F497" s="487"/>
      <c r="G497" s="487"/>
      <c r="H497" s="487"/>
      <c r="I497" s="487"/>
      <c r="J497" s="487"/>
      <c r="K497" s="487"/>
      <c r="L497" s="487"/>
      <c r="M497" s="487"/>
      <c r="N497" s="487"/>
      <c r="O497" s="487"/>
      <c r="P497" s="487"/>
    </row>
    <row r="498" spans="1:16" ht="12.75" x14ac:dyDescent="0.2">
      <c r="A498" s="487"/>
      <c r="B498" s="487"/>
      <c r="C498" s="487"/>
      <c r="D498" s="487"/>
      <c r="E498" s="487"/>
      <c r="F498" s="487"/>
      <c r="G498" s="487"/>
      <c r="H498" s="487"/>
      <c r="I498" s="487"/>
      <c r="J498" s="487"/>
      <c r="K498" s="487"/>
      <c r="L498" s="487"/>
      <c r="M498" s="487"/>
      <c r="N498" s="487"/>
      <c r="O498" s="487"/>
      <c r="P498" s="487"/>
    </row>
    <row r="499" spans="1:16" ht="12.75" x14ac:dyDescent="0.2">
      <c r="A499" s="487"/>
      <c r="B499" s="487"/>
      <c r="C499" s="487"/>
      <c r="D499" s="487"/>
      <c r="E499" s="487"/>
      <c r="F499" s="487"/>
      <c r="G499" s="487"/>
      <c r="H499" s="487"/>
      <c r="I499" s="487"/>
      <c r="J499" s="487"/>
      <c r="K499" s="487"/>
      <c r="L499" s="487"/>
      <c r="M499" s="487"/>
      <c r="N499" s="487"/>
      <c r="O499" s="487"/>
      <c r="P499" s="487"/>
    </row>
    <row r="500" spans="1:16" ht="12.75" x14ac:dyDescent="0.2">
      <c r="A500" s="487"/>
      <c r="B500" s="487"/>
      <c r="C500" s="487"/>
      <c r="D500" s="487"/>
      <c r="E500" s="487"/>
      <c r="F500" s="487"/>
      <c r="G500" s="487"/>
      <c r="H500" s="487"/>
      <c r="I500" s="487"/>
      <c r="J500" s="487"/>
      <c r="K500" s="487"/>
      <c r="L500" s="487"/>
      <c r="M500" s="487"/>
      <c r="N500" s="487"/>
      <c r="O500" s="487"/>
      <c r="P500" s="487"/>
    </row>
    <row r="501" spans="1:16" ht="12.75" x14ac:dyDescent="0.2">
      <c r="A501" s="487"/>
      <c r="B501" s="487"/>
      <c r="C501" s="487"/>
      <c r="D501" s="487"/>
      <c r="E501" s="487"/>
      <c r="F501" s="487"/>
      <c r="G501" s="487"/>
      <c r="H501" s="487"/>
      <c r="I501" s="487"/>
      <c r="J501" s="487"/>
      <c r="K501" s="487"/>
      <c r="L501" s="487"/>
      <c r="M501" s="487"/>
      <c r="N501" s="487"/>
      <c r="O501" s="487"/>
      <c r="P501" s="487"/>
    </row>
    <row r="502" spans="1:16" ht="12.75" x14ac:dyDescent="0.2">
      <c r="A502" s="487"/>
      <c r="B502" s="487"/>
      <c r="C502" s="487"/>
      <c r="D502" s="487"/>
      <c r="E502" s="487"/>
      <c r="F502" s="487"/>
      <c r="G502" s="487"/>
      <c r="H502" s="487"/>
      <c r="I502" s="487"/>
      <c r="J502" s="487"/>
      <c r="K502" s="487"/>
      <c r="L502" s="487"/>
      <c r="M502" s="487"/>
      <c r="N502" s="487"/>
      <c r="O502" s="487"/>
      <c r="P502" s="487"/>
    </row>
    <row r="503" spans="1:16" ht="12.75" x14ac:dyDescent="0.2">
      <c r="A503" s="487"/>
      <c r="B503" s="487"/>
      <c r="C503" s="487"/>
      <c r="D503" s="487"/>
      <c r="E503" s="487"/>
      <c r="F503" s="487"/>
      <c r="G503" s="487"/>
      <c r="H503" s="487"/>
      <c r="I503" s="487"/>
      <c r="J503" s="487"/>
      <c r="K503" s="487"/>
      <c r="L503" s="487"/>
      <c r="M503" s="487"/>
      <c r="N503" s="487"/>
      <c r="O503" s="487"/>
      <c r="P503" s="487"/>
    </row>
    <row r="504" spans="1:16" ht="12.75" x14ac:dyDescent="0.2">
      <c r="A504" s="487"/>
      <c r="B504" s="487"/>
      <c r="C504" s="487"/>
      <c r="D504" s="487"/>
      <c r="E504" s="487"/>
      <c r="F504" s="487"/>
      <c r="G504" s="487"/>
      <c r="H504" s="487"/>
      <c r="I504" s="487"/>
      <c r="J504" s="487"/>
      <c r="K504" s="487"/>
      <c r="L504" s="487"/>
      <c r="M504" s="487"/>
      <c r="N504" s="487"/>
      <c r="O504" s="487"/>
      <c r="P504" s="487"/>
    </row>
    <row r="505" spans="1:16" ht="12.75" x14ac:dyDescent="0.2">
      <c r="A505" s="487"/>
      <c r="B505" s="487"/>
      <c r="C505" s="487"/>
      <c r="D505" s="487"/>
      <c r="E505" s="487"/>
      <c r="F505" s="487"/>
      <c r="G505" s="487"/>
      <c r="H505" s="487"/>
      <c r="I505" s="487"/>
      <c r="J505" s="487"/>
      <c r="K505" s="487"/>
      <c r="L505" s="487"/>
      <c r="M505" s="487"/>
      <c r="N505" s="487"/>
      <c r="O505" s="487"/>
      <c r="P505" s="487"/>
    </row>
    <row r="506" spans="1:16" ht="12.75" x14ac:dyDescent="0.2">
      <c r="A506" s="487"/>
      <c r="B506" s="487"/>
      <c r="C506" s="487"/>
      <c r="D506" s="487"/>
      <c r="E506" s="487"/>
      <c r="F506" s="487"/>
      <c r="G506" s="487"/>
      <c r="H506" s="487"/>
      <c r="I506" s="487"/>
      <c r="J506" s="487"/>
      <c r="K506" s="487"/>
      <c r="L506" s="487"/>
      <c r="M506" s="487"/>
      <c r="N506" s="487"/>
      <c r="O506" s="487"/>
      <c r="P506" s="487"/>
    </row>
    <row r="507" spans="1:16" ht="12.75" x14ac:dyDescent="0.2">
      <c r="A507" s="487"/>
      <c r="B507" s="487"/>
      <c r="C507" s="487"/>
      <c r="D507" s="487"/>
      <c r="E507" s="487"/>
      <c r="F507" s="487"/>
      <c r="G507" s="487"/>
      <c r="H507" s="487"/>
      <c r="I507" s="487"/>
      <c r="J507" s="487"/>
      <c r="K507" s="487"/>
      <c r="L507" s="487"/>
      <c r="M507" s="487"/>
      <c r="N507" s="487"/>
      <c r="O507" s="487"/>
      <c r="P507" s="487"/>
    </row>
    <row r="508" spans="1:16" ht="12.75" x14ac:dyDescent="0.2">
      <c r="A508" s="487"/>
      <c r="B508" s="487"/>
      <c r="C508" s="487"/>
      <c r="D508" s="487"/>
      <c r="E508" s="487"/>
      <c r="F508" s="487"/>
      <c r="G508" s="487"/>
      <c r="H508" s="487"/>
      <c r="I508" s="487"/>
      <c r="J508" s="487"/>
      <c r="K508" s="487"/>
      <c r="L508" s="487"/>
      <c r="M508" s="487"/>
      <c r="N508" s="487"/>
      <c r="O508" s="487"/>
      <c r="P508" s="487"/>
    </row>
    <row r="509" spans="1:16" ht="12.75" x14ac:dyDescent="0.2">
      <c r="A509" s="487"/>
      <c r="B509" s="487"/>
      <c r="C509" s="487"/>
      <c r="D509" s="487"/>
      <c r="E509" s="487"/>
      <c r="F509" s="487"/>
      <c r="G509" s="487"/>
      <c r="H509" s="487"/>
      <c r="I509" s="487"/>
      <c r="J509" s="487"/>
      <c r="K509" s="487"/>
      <c r="L509" s="487"/>
      <c r="M509" s="487"/>
      <c r="N509" s="487"/>
      <c r="O509" s="487"/>
      <c r="P509" s="487"/>
    </row>
    <row r="510" spans="1:16" ht="12.75" x14ac:dyDescent="0.2">
      <c r="A510" s="487"/>
      <c r="B510" s="487"/>
      <c r="C510" s="487"/>
      <c r="D510" s="487"/>
      <c r="E510" s="487"/>
      <c r="F510" s="487"/>
      <c r="G510" s="487"/>
      <c r="H510" s="487"/>
      <c r="I510" s="487"/>
      <c r="J510" s="487"/>
      <c r="K510" s="487"/>
      <c r="L510" s="487"/>
      <c r="M510" s="487"/>
      <c r="N510" s="487"/>
      <c r="O510" s="487"/>
      <c r="P510" s="487"/>
    </row>
    <row r="511" spans="1:16" ht="12.75" x14ac:dyDescent="0.2">
      <c r="A511" s="487"/>
      <c r="B511" s="487"/>
      <c r="C511" s="487"/>
      <c r="D511" s="487"/>
      <c r="E511" s="487"/>
      <c r="F511" s="487"/>
      <c r="G511" s="487"/>
      <c r="H511" s="487"/>
      <c r="I511" s="487"/>
      <c r="J511" s="487"/>
      <c r="K511" s="487"/>
      <c r="L511" s="487"/>
      <c r="M511" s="487"/>
      <c r="N511" s="487"/>
      <c r="O511" s="487"/>
      <c r="P511" s="487"/>
    </row>
    <row r="512" spans="1:16" ht="12.75" x14ac:dyDescent="0.2">
      <c r="A512" s="487"/>
      <c r="B512" s="487"/>
      <c r="C512" s="487"/>
      <c r="D512" s="487"/>
      <c r="E512" s="487"/>
      <c r="F512" s="487"/>
      <c r="G512" s="487"/>
      <c r="H512" s="487"/>
      <c r="I512" s="487"/>
      <c r="J512" s="487"/>
      <c r="K512" s="487"/>
      <c r="L512" s="487"/>
      <c r="M512" s="487"/>
      <c r="N512" s="487"/>
      <c r="O512" s="487"/>
      <c r="P512" s="487"/>
    </row>
    <row r="513" spans="1:16" ht="12.75" x14ac:dyDescent="0.2">
      <c r="A513" s="487"/>
      <c r="B513" s="487"/>
      <c r="C513" s="487"/>
      <c r="D513" s="487"/>
      <c r="E513" s="487"/>
      <c r="F513" s="487"/>
      <c r="G513" s="487"/>
      <c r="H513" s="487"/>
      <c r="I513" s="487"/>
      <c r="J513" s="487"/>
      <c r="K513" s="487"/>
      <c r="L513" s="487"/>
      <c r="M513" s="487"/>
      <c r="N513" s="487"/>
      <c r="O513" s="487"/>
      <c r="P513" s="487"/>
    </row>
    <row r="514" spans="1:16" ht="12.75" x14ac:dyDescent="0.2">
      <c r="A514" s="487"/>
      <c r="B514" s="487"/>
      <c r="C514" s="487"/>
      <c r="D514" s="487"/>
      <c r="E514" s="487"/>
      <c r="F514" s="487"/>
      <c r="G514" s="487"/>
      <c r="H514" s="487"/>
      <c r="I514" s="487"/>
      <c r="J514" s="487"/>
      <c r="K514" s="487"/>
      <c r="L514" s="487"/>
      <c r="M514" s="487"/>
      <c r="N514" s="487"/>
      <c r="O514" s="487"/>
      <c r="P514" s="487"/>
    </row>
    <row r="515" spans="1:16" ht="12.75" x14ac:dyDescent="0.2">
      <c r="A515" s="487"/>
      <c r="B515" s="487"/>
      <c r="C515" s="487"/>
      <c r="D515" s="487"/>
      <c r="E515" s="487"/>
      <c r="F515" s="487"/>
      <c r="G515" s="487"/>
      <c r="H515" s="487"/>
      <c r="I515" s="487"/>
      <c r="J515" s="487"/>
      <c r="K515" s="487"/>
      <c r="L515" s="487"/>
      <c r="M515" s="487"/>
      <c r="N515" s="487"/>
      <c r="O515" s="487"/>
      <c r="P515" s="487"/>
    </row>
    <row r="516" spans="1:16" ht="12.75" x14ac:dyDescent="0.2">
      <c r="A516" s="487"/>
      <c r="B516" s="487"/>
      <c r="C516" s="487"/>
      <c r="D516" s="487"/>
      <c r="E516" s="487"/>
      <c r="F516" s="487"/>
      <c r="G516" s="487"/>
      <c r="H516" s="487"/>
      <c r="I516" s="487"/>
      <c r="J516" s="487"/>
      <c r="K516" s="487"/>
      <c r="L516" s="487"/>
      <c r="M516" s="487"/>
      <c r="N516" s="487"/>
      <c r="O516" s="487"/>
      <c r="P516" s="487"/>
    </row>
    <row r="517" spans="1:16" ht="12.75" x14ac:dyDescent="0.2">
      <c r="A517" s="487"/>
      <c r="B517" s="487"/>
      <c r="C517" s="487"/>
      <c r="D517" s="487"/>
      <c r="E517" s="487"/>
      <c r="F517" s="487"/>
      <c r="G517" s="487"/>
      <c r="H517" s="487"/>
      <c r="I517" s="487"/>
      <c r="J517" s="487"/>
      <c r="K517" s="487"/>
      <c r="L517" s="487"/>
      <c r="M517" s="487"/>
      <c r="N517" s="487"/>
      <c r="O517" s="487"/>
      <c r="P517" s="487"/>
    </row>
    <row r="518" spans="1:16" ht="12.75" x14ac:dyDescent="0.2">
      <c r="A518" s="487"/>
      <c r="B518" s="487"/>
      <c r="C518" s="487"/>
      <c r="D518" s="487"/>
      <c r="E518" s="487"/>
      <c r="F518" s="487"/>
      <c r="G518" s="487"/>
      <c r="H518" s="487"/>
      <c r="I518" s="487"/>
      <c r="J518" s="487"/>
      <c r="K518" s="487"/>
      <c r="L518" s="487"/>
      <c r="M518" s="487"/>
      <c r="N518" s="487"/>
      <c r="O518" s="487"/>
      <c r="P518" s="487"/>
    </row>
    <row r="519" spans="1:16" ht="12.75" x14ac:dyDescent="0.2">
      <c r="A519" s="487"/>
      <c r="B519" s="487"/>
      <c r="C519" s="487"/>
      <c r="D519" s="487"/>
      <c r="E519" s="487"/>
      <c r="F519" s="487"/>
      <c r="G519" s="487"/>
      <c r="H519" s="487"/>
      <c r="I519" s="487"/>
      <c r="J519" s="487"/>
      <c r="K519" s="487"/>
      <c r="L519" s="487"/>
      <c r="M519" s="487"/>
      <c r="N519" s="487"/>
      <c r="O519" s="487"/>
      <c r="P519" s="487"/>
    </row>
    <row r="520" spans="1:16" ht="12.75" x14ac:dyDescent="0.2">
      <c r="A520" s="487"/>
      <c r="B520" s="487"/>
      <c r="C520" s="487"/>
      <c r="D520" s="487"/>
      <c r="E520" s="487"/>
      <c r="F520" s="487"/>
      <c r="G520" s="487"/>
      <c r="H520" s="487"/>
      <c r="I520" s="487"/>
      <c r="J520" s="487"/>
      <c r="K520" s="487"/>
      <c r="L520" s="487"/>
      <c r="M520" s="487"/>
      <c r="N520" s="487"/>
      <c r="O520" s="487"/>
      <c r="P520" s="487"/>
    </row>
    <row r="521" spans="1:16" ht="12.75" x14ac:dyDescent="0.2">
      <c r="A521" s="487"/>
      <c r="B521" s="487"/>
      <c r="C521" s="487"/>
      <c r="D521" s="487"/>
      <c r="E521" s="487"/>
      <c r="F521" s="487"/>
      <c r="G521" s="487"/>
      <c r="H521" s="487"/>
      <c r="I521" s="487"/>
      <c r="J521" s="487"/>
      <c r="K521" s="487"/>
      <c r="L521" s="487"/>
      <c r="M521" s="487"/>
      <c r="N521" s="487"/>
      <c r="O521" s="487"/>
      <c r="P521" s="487"/>
    </row>
    <row r="522" spans="1:16" ht="12.75" x14ac:dyDescent="0.2">
      <c r="A522" s="487"/>
      <c r="B522" s="487"/>
      <c r="C522" s="487"/>
      <c r="D522" s="487"/>
      <c r="E522" s="487"/>
      <c r="F522" s="487"/>
      <c r="G522" s="487"/>
      <c r="H522" s="487"/>
      <c r="I522" s="487"/>
      <c r="J522" s="487"/>
      <c r="K522" s="487"/>
      <c r="L522" s="487"/>
      <c r="M522" s="487"/>
      <c r="N522" s="487"/>
      <c r="O522" s="487"/>
      <c r="P522" s="487"/>
    </row>
    <row r="523" spans="1:16" ht="12.75" x14ac:dyDescent="0.2">
      <c r="A523" s="487"/>
      <c r="B523" s="487"/>
      <c r="C523" s="487"/>
      <c r="D523" s="487"/>
      <c r="E523" s="487"/>
      <c r="F523" s="487"/>
      <c r="G523" s="487"/>
      <c r="H523" s="487"/>
      <c r="I523" s="487"/>
      <c r="J523" s="487"/>
      <c r="K523" s="487"/>
      <c r="L523" s="487"/>
      <c r="M523" s="487"/>
      <c r="N523" s="487"/>
      <c r="O523" s="487"/>
      <c r="P523" s="487"/>
    </row>
    <row r="524" spans="1:16" ht="12.75" x14ac:dyDescent="0.2">
      <c r="A524" s="487"/>
      <c r="B524" s="487"/>
      <c r="C524" s="487"/>
      <c r="D524" s="487"/>
      <c r="E524" s="487"/>
      <c r="F524" s="487"/>
      <c r="G524" s="487"/>
      <c r="H524" s="487"/>
      <c r="I524" s="487"/>
      <c r="J524" s="487"/>
      <c r="K524" s="487"/>
      <c r="L524" s="487"/>
      <c r="M524" s="487"/>
      <c r="N524" s="487"/>
      <c r="O524" s="487"/>
      <c r="P524" s="487"/>
    </row>
    <row r="525" spans="1:16" ht="12.75" x14ac:dyDescent="0.2">
      <c r="A525" s="487"/>
      <c r="B525" s="487"/>
      <c r="C525" s="487"/>
      <c r="D525" s="487"/>
      <c r="E525" s="487"/>
      <c r="F525" s="487"/>
      <c r="G525" s="487"/>
      <c r="H525" s="487"/>
      <c r="I525" s="487"/>
      <c r="J525" s="487"/>
      <c r="K525" s="487"/>
      <c r="L525" s="487"/>
      <c r="M525" s="487"/>
      <c r="N525" s="487"/>
      <c r="O525" s="487"/>
      <c r="P525" s="487"/>
    </row>
    <row r="526" spans="1:16" ht="12.75" x14ac:dyDescent="0.2">
      <c r="A526" s="487"/>
      <c r="B526" s="487"/>
      <c r="C526" s="487"/>
      <c r="D526" s="487"/>
      <c r="E526" s="487"/>
      <c r="F526" s="487"/>
      <c r="G526" s="487"/>
      <c r="H526" s="487"/>
      <c r="I526" s="487"/>
      <c r="J526" s="487"/>
      <c r="K526" s="487"/>
      <c r="L526" s="487"/>
      <c r="M526" s="487"/>
      <c r="N526" s="487"/>
      <c r="O526" s="487"/>
      <c r="P526" s="487"/>
    </row>
    <row r="527" spans="1:16" ht="12.75" x14ac:dyDescent="0.2">
      <c r="A527" s="487"/>
      <c r="B527" s="487"/>
      <c r="C527" s="487"/>
      <c r="D527" s="487"/>
      <c r="E527" s="487"/>
      <c r="F527" s="487"/>
      <c r="G527" s="487"/>
      <c r="H527" s="487"/>
      <c r="I527" s="487"/>
      <c r="J527" s="487"/>
      <c r="K527" s="487"/>
      <c r="L527" s="487"/>
      <c r="M527" s="487"/>
      <c r="N527" s="487"/>
      <c r="O527" s="487"/>
      <c r="P527" s="487"/>
    </row>
    <row r="528" spans="1:16" ht="12.75" x14ac:dyDescent="0.2">
      <c r="A528" s="487"/>
      <c r="B528" s="487"/>
      <c r="C528" s="487"/>
      <c r="D528" s="487"/>
      <c r="E528" s="487"/>
      <c r="F528" s="487"/>
      <c r="G528" s="487"/>
      <c r="H528" s="487"/>
      <c r="I528" s="487"/>
      <c r="J528" s="487"/>
      <c r="K528" s="487"/>
      <c r="L528" s="487"/>
      <c r="M528" s="487"/>
      <c r="N528" s="487"/>
      <c r="O528" s="487"/>
      <c r="P528" s="487"/>
    </row>
    <row r="529" spans="1:16" ht="12.75" x14ac:dyDescent="0.2">
      <c r="A529" s="487"/>
      <c r="B529" s="487"/>
      <c r="C529" s="487"/>
      <c r="D529" s="487"/>
      <c r="E529" s="487"/>
      <c r="F529" s="487"/>
      <c r="G529" s="487"/>
      <c r="H529" s="487"/>
      <c r="I529" s="487"/>
      <c r="J529" s="487"/>
      <c r="K529" s="487"/>
      <c r="L529" s="487"/>
      <c r="M529" s="487"/>
      <c r="N529" s="487"/>
      <c r="O529" s="487"/>
      <c r="P529" s="487"/>
    </row>
    <row r="530" spans="1:16" ht="12.75" x14ac:dyDescent="0.2">
      <c r="A530" s="487"/>
      <c r="B530" s="487"/>
      <c r="C530" s="487"/>
      <c r="D530" s="487"/>
      <c r="E530" s="487"/>
      <c r="F530" s="487"/>
      <c r="G530" s="487"/>
      <c r="H530" s="487"/>
      <c r="I530" s="487"/>
      <c r="J530" s="487"/>
      <c r="K530" s="487"/>
      <c r="L530" s="487"/>
      <c r="M530" s="487"/>
      <c r="N530" s="487"/>
      <c r="O530" s="487"/>
      <c r="P530" s="487"/>
    </row>
    <row r="531" spans="1:16" ht="12.75" x14ac:dyDescent="0.2">
      <c r="A531" s="487"/>
      <c r="B531" s="487"/>
      <c r="C531" s="487"/>
      <c r="D531" s="487"/>
      <c r="E531" s="487"/>
      <c r="F531" s="487"/>
      <c r="G531" s="487"/>
      <c r="H531" s="487"/>
      <c r="I531" s="487"/>
      <c r="J531" s="487"/>
      <c r="K531" s="487"/>
      <c r="L531" s="487"/>
      <c r="M531" s="487"/>
      <c r="N531" s="487"/>
      <c r="O531" s="487"/>
      <c r="P531" s="487"/>
    </row>
    <row r="532" spans="1:16" ht="12.75" x14ac:dyDescent="0.2">
      <c r="A532" s="487"/>
      <c r="B532" s="487"/>
      <c r="C532" s="487"/>
      <c r="D532" s="487"/>
      <c r="E532" s="487"/>
      <c r="F532" s="487"/>
      <c r="G532" s="487"/>
      <c r="H532" s="487"/>
      <c r="I532" s="487"/>
      <c r="J532" s="487"/>
      <c r="K532" s="487"/>
      <c r="L532" s="487"/>
      <c r="M532" s="487"/>
      <c r="N532" s="487"/>
      <c r="O532" s="487"/>
      <c r="P532" s="487"/>
    </row>
    <row r="533" spans="1:16" ht="12.75" x14ac:dyDescent="0.2">
      <c r="A533" s="487"/>
      <c r="B533" s="487"/>
      <c r="C533" s="487"/>
      <c r="D533" s="487"/>
      <c r="E533" s="487"/>
      <c r="F533" s="487"/>
      <c r="G533" s="487"/>
      <c r="H533" s="487"/>
      <c r="I533" s="487"/>
      <c r="J533" s="487"/>
      <c r="K533" s="487"/>
      <c r="L533" s="487"/>
      <c r="M533" s="487"/>
      <c r="N533" s="487"/>
      <c r="O533" s="487"/>
      <c r="P533" s="487"/>
    </row>
    <row r="534" spans="1:16" ht="12.75" x14ac:dyDescent="0.2">
      <c r="A534" s="487"/>
      <c r="B534" s="487"/>
      <c r="C534" s="487"/>
      <c r="D534" s="487"/>
      <c r="E534" s="487"/>
      <c r="F534" s="487"/>
      <c r="G534" s="487"/>
      <c r="H534" s="487"/>
      <c r="I534" s="487"/>
      <c r="J534" s="487"/>
      <c r="K534" s="487"/>
      <c r="L534" s="487"/>
      <c r="M534" s="487"/>
      <c r="N534" s="487"/>
      <c r="O534" s="487"/>
      <c r="P534" s="487"/>
    </row>
    <row r="535" spans="1:16" ht="12.75" x14ac:dyDescent="0.2">
      <c r="A535" s="487"/>
      <c r="B535" s="487"/>
      <c r="C535" s="487"/>
      <c r="D535" s="487"/>
      <c r="E535" s="487"/>
      <c r="F535" s="487"/>
      <c r="G535" s="487"/>
      <c r="H535" s="487"/>
      <c r="I535" s="487"/>
      <c r="J535" s="487"/>
      <c r="K535" s="487"/>
      <c r="L535" s="487"/>
      <c r="M535" s="487"/>
      <c r="N535" s="487"/>
      <c r="O535" s="487"/>
      <c r="P535" s="487"/>
    </row>
    <row r="536" spans="1:16" ht="12.75" x14ac:dyDescent="0.2">
      <c r="A536" s="487"/>
      <c r="B536" s="487"/>
      <c r="C536" s="487"/>
      <c r="D536" s="487"/>
      <c r="E536" s="487"/>
      <c r="F536" s="487"/>
      <c r="G536" s="487"/>
      <c r="H536" s="487"/>
      <c r="I536" s="487"/>
      <c r="J536" s="487"/>
      <c r="K536" s="487"/>
      <c r="L536" s="487"/>
      <c r="M536" s="487"/>
      <c r="N536" s="487"/>
      <c r="O536" s="487"/>
      <c r="P536" s="487"/>
    </row>
    <row r="537" spans="1:16" ht="12.75" x14ac:dyDescent="0.2">
      <c r="A537" s="487"/>
      <c r="B537" s="487"/>
      <c r="C537" s="487"/>
      <c r="D537" s="487"/>
      <c r="E537" s="487"/>
      <c r="F537" s="487"/>
      <c r="G537" s="487"/>
      <c r="H537" s="487"/>
      <c r="I537" s="487"/>
      <c r="J537" s="487"/>
      <c r="K537" s="487"/>
      <c r="L537" s="487"/>
      <c r="M537" s="487"/>
      <c r="N537" s="487"/>
      <c r="O537" s="487"/>
      <c r="P537" s="487"/>
    </row>
    <row r="538" spans="1:16" ht="12.75" x14ac:dyDescent="0.2">
      <c r="A538" s="487"/>
      <c r="B538" s="487"/>
      <c r="C538" s="487"/>
      <c r="D538" s="487"/>
      <c r="E538" s="487"/>
      <c r="F538" s="487"/>
      <c r="G538" s="487"/>
      <c r="H538" s="487"/>
      <c r="I538" s="487"/>
      <c r="J538" s="487"/>
      <c r="K538" s="487"/>
      <c r="L538" s="487"/>
      <c r="M538" s="487"/>
      <c r="N538" s="487"/>
      <c r="O538" s="487"/>
      <c r="P538" s="487"/>
    </row>
    <row r="539" spans="1:16" ht="12.75" x14ac:dyDescent="0.2">
      <c r="A539" s="487"/>
      <c r="B539" s="487"/>
      <c r="C539" s="487"/>
      <c r="D539" s="487"/>
      <c r="E539" s="487"/>
      <c r="F539" s="487"/>
      <c r="G539" s="487"/>
      <c r="H539" s="487"/>
      <c r="I539" s="487"/>
      <c r="J539" s="487"/>
      <c r="K539" s="487"/>
      <c r="L539" s="487"/>
      <c r="M539" s="487"/>
      <c r="N539" s="487"/>
      <c r="O539" s="487"/>
      <c r="P539" s="487"/>
    </row>
    <row r="540" spans="1:16" ht="12.75" x14ac:dyDescent="0.2">
      <c r="A540" s="487"/>
      <c r="B540" s="487"/>
      <c r="C540" s="487"/>
      <c r="D540" s="487"/>
      <c r="E540" s="487"/>
      <c r="F540" s="487"/>
      <c r="G540" s="487"/>
      <c r="H540" s="487"/>
      <c r="I540" s="487"/>
      <c r="J540" s="487"/>
      <c r="K540" s="487"/>
      <c r="L540" s="487"/>
      <c r="M540" s="487"/>
      <c r="N540" s="487"/>
      <c r="O540" s="487"/>
      <c r="P540" s="487"/>
    </row>
    <row r="541" spans="1:16" ht="12.75" x14ac:dyDescent="0.2">
      <c r="A541" s="487"/>
      <c r="B541" s="487"/>
      <c r="C541" s="487"/>
      <c r="D541" s="487"/>
      <c r="E541" s="487"/>
      <c r="F541" s="487"/>
      <c r="G541" s="487"/>
      <c r="H541" s="487"/>
      <c r="I541" s="487"/>
      <c r="J541" s="487"/>
      <c r="K541" s="487"/>
      <c r="L541" s="487"/>
      <c r="M541" s="487"/>
      <c r="N541" s="487"/>
      <c r="O541" s="487"/>
      <c r="P541" s="487"/>
    </row>
    <row r="542" spans="1:16" ht="12.75" x14ac:dyDescent="0.2">
      <c r="A542" s="487"/>
      <c r="B542" s="487"/>
      <c r="C542" s="487"/>
      <c r="D542" s="487"/>
      <c r="E542" s="487"/>
      <c r="F542" s="487"/>
      <c r="G542" s="487"/>
      <c r="H542" s="487"/>
      <c r="I542" s="487"/>
      <c r="J542" s="487"/>
      <c r="K542" s="487"/>
      <c r="L542" s="487"/>
      <c r="M542" s="487"/>
      <c r="N542" s="487"/>
      <c r="O542" s="487"/>
      <c r="P542" s="487"/>
    </row>
    <row r="543" spans="1:16" ht="12.75" x14ac:dyDescent="0.2">
      <c r="A543" s="487"/>
      <c r="B543" s="487"/>
      <c r="C543" s="487"/>
      <c r="D543" s="487"/>
      <c r="E543" s="487"/>
      <c r="F543" s="487"/>
      <c r="G543" s="487"/>
      <c r="H543" s="487"/>
      <c r="I543" s="487"/>
      <c r="J543" s="487"/>
      <c r="K543" s="487"/>
      <c r="L543" s="487"/>
      <c r="M543" s="487"/>
      <c r="N543" s="487"/>
      <c r="O543" s="487"/>
      <c r="P543" s="487"/>
    </row>
    <row r="544" spans="1:16" ht="12.75" x14ac:dyDescent="0.2">
      <c r="A544" s="487"/>
      <c r="B544" s="487"/>
      <c r="C544" s="487"/>
      <c r="D544" s="487"/>
      <c r="E544" s="487"/>
      <c r="F544" s="487"/>
      <c r="G544" s="487"/>
      <c r="H544" s="487"/>
      <c r="I544" s="487"/>
      <c r="J544" s="487"/>
      <c r="K544" s="487"/>
      <c r="L544" s="487"/>
      <c r="M544" s="487"/>
      <c r="N544" s="487"/>
      <c r="O544" s="487"/>
      <c r="P544" s="487"/>
    </row>
    <row r="545" spans="1:16" ht="12.75" x14ac:dyDescent="0.2">
      <c r="A545" s="487"/>
      <c r="B545" s="487"/>
      <c r="C545" s="487"/>
      <c r="D545" s="487"/>
      <c r="E545" s="487"/>
      <c r="F545" s="487"/>
      <c r="G545" s="487"/>
      <c r="H545" s="487"/>
      <c r="I545" s="487"/>
      <c r="J545" s="487"/>
      <c r="K545" s="487"/>
      <c r="L545" s="487"/>
      <c r="M545" s="487"/>
      <c r="N545" s="487"/>
      <c r="O545" s="487"/>
      <c r="P545" s="487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4B4E-45AF-4AAB-958D-CC2B69B867B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163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1453437</v>
      </c>
      <c r="M18" s="865">
        <f ca="1">M19+M20</f>
        <v>1172279</v>
      </c>
      <c r="N18" s="865">
        <f ca="1">N19+N20</f>
        <v>499953.88</v>
      </c>
      <c r="O18" s="865">
        <f ca="1">IF(L18&gt;0,N18*100/L18,0)</f>
        <v>34.398042708421485</v>
      </c>
      <c r="P18" s="865">
        <f ca="1">IF(M18&gt;0,N18*100/M18,0)</f>
        <v>42.648028327727445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1453437</v>
      </c>
      <c r="M20" s="972">
        <f ca="1">M23+M26</f>
        <v>1172279</v>
      </c>
      <c r="N20" s="972">
        <f ca="1">N23+N26</f>
        <v>499953.88</v>
      </c>
      <c r="O20" s="972">
        <f ca="1">IF(L20&gt;0,N20*100/L20,0)</f>
        <v>34.398042708421485</v>
      </c>
      <c r="P20" s="972">
        <f ca="1">IF(M20&gt;0,N20*100/M20,0)</f>
        <v>42.648028327727445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1453437</v>
      </c>
      <c r="M21" s="427">
        <f ca="1">M22+M23</f>
        <v>1172279</v>
      </c>
      <c r="N21" s="427">
        <f ca="1">N22+N23</f>
        <v>499953.88</v>
      </c>
      <c r="O21" s="427">
        <f ca="1">IF(L21&gt;0,N21*100/L21,0)</f>
        <v>34.398042708421485</v>
      </c>
      <c r="P21" s="427">
        <f ca="1">IF(M21&gt;0,N21*100/M21,0)</f>
        <v>42.648028327727445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1453437</v>
      </c>
      <c r="M23" s="427">
        <f ca="1">M49+M64+M77+M99+M130+M144+M162+M191+M178+M271+M287+M308+M325+M338+M361+M382</f>
        <v>1172279</v>
      </c>
      <c r="N23" s="427">
        <f ca="1">N49+N64+N77+N99+N130+N144+N162+N191+N178+N271+N287+N308+N325+N338+N361+N382</f>
        <v>499953.88</v>
      </c>
      <c r="O23" s="427">
        <f ca="1">IF(L23&gt;0,N23*100/L23,0)</f>
        <v>34.398042708421485</v>
      </c>
      <c r="P23" s="427">
        <f ca="1">IF(M23&gt;0,N23*100/M23,0)</f>
        <v>42.648028327727445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1453437</v>
      </c>
      <c r="M40" s="964">
        <f ca="1">M44+M59+M72+M94+M125+M139+M157+M173+M186+M266+M282+M303+M320+M333+M356</f>
        <v>1172279</v>
      </c>
      <c r="N40" s="964">
        <f ca="1">N44+N59+N72+N94+N125+N139+N157+N173+N186+N266+N282+N303+N320+N333+N356</f>
        <v>499953.88</v>
      </c>
      <c r="O40" s="964">
        <f ca="1">IF(L40&gt;0,N40*100/L40,0)</f>
        <v>34.398042708421485</v>
      </c>
      <c r="P40" s="964">
        <f ca="1">IF(M40&gt;0,N40*100/M40,0)</f>
        <v>42.648028327727445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202842</v>
      </c>
      <c r="M44" s="949">
        <f ca="1">M45+M46</f>
        <v>207084</v>
      </c>
      <c r="N44" s="949">
        <f ca="1">N45+N46</f>
        <v>112242</v>
      </c>
      <c r="O44" s="949">
        <f ca="1">IF(L44&gt;0,N44*100/L44,0)</f>
        <v>55.334693998284379</v>
      </c>
      <c r="P44" s="949">
        <f ca="1">IF(M44&gt;0,N44*100/M44,0)</f>
        <v>54.201193718491048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202842</v>
      </c>
      <c r="M46" s="941">
        <f ca="1">M49+M52</f>
        <v>207084</v>
      </c>
      <c r="N46" s="941">
        <f ca="1">N49+N52</f>
        <v>112242</v>
      </c>
      <c r="O46" s="941">
        <f ca="1">IF(L46&gt;0,N46*100/L46,0)</f>
        <v>55.334693998284379</v>
      </c>
      <c r="P46" s="941">
        <f ca="1">IF(M46&gt;0,N46*100/M46,0)</f>
        <v>54.201193718491048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202842</v>
      </c>
      <c r="M47" s="427">
        <f ca="1">M48+M49</f>
        <v>207084</v>
      </c>
      <c r="N47" s="427">
        <f ca="1">N48+N49</f>
        <v>112242</v>
      </c>
      <c r="O47" s="427">
        <f ca="1">IF(L47&gt;0,N47*100/L47,0)</f>
        <v>55.334693998284379</v>
      </c>
      <c r="P47" s="427">
        <f ca="1">IF(M47&gt;0,N47*100/M47,0)</f>
        <v>54.201193718491048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IFERROR(__xludf.DUMMYFUNCTION("IMPORTRANGE(""https://docs.google.com/spreadsheets/d/1-uDff_7J0KD5mKrp0Vvzr7lt3OU09vwQwhkpOPPYv2Y/edit?usp=sharing"",""งบพรบ!P54"")"),202842)</f>
        <v>202842</v>
      </c>
      <c r="M49" s="427">
        <f ca="1">IFERROR(__xludf.DUMMYFUNCTION("IMPORTRANGE(""https://docs.google.com/spreadsheets/d/1-uDff_7J0KD5mKrp0Vvzr7lt3OU09vwQwhkpOPPYv2Y/edit?usp=sharing"",""งบพรบ!V54"")"),207084)</f>
        <v>207084</v>
      </c>
      <c r="N49" s="427">
        <f ca="1">IFERROR(__xludf.DUMMYFUNCTION("IMPORTRANGE(""https://docs.google.com/spreadsheets/d/1-uDff_7J0KD5mKrp0Vvzr7lt3OU09vwQwhkpOPPYv2Y/edit?usp=sharing"",""งบพรบ!Y54"")"),112242)</f>
        <v>112242</v>
      </c>
      <c r="O49" s="427">
        <f ca="1">IF(L49&gt;0,N49*100/L49,0)</f>
        <v>55.334693998284379</v>
      </c>
      <c r="P49" s="427">
        <f ca="1">IF(M49&gt;0,N49*100/M49,0)</f>
        <v>54.201193718491048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IFERROR(__xludf.DUMMYFUNCTION("IMPORTRANGE(""https://docs.google.com/spreadsheets/d/1-uDff_7J0KD5mKrp0Vvzr7lt3OU09vwQwhkpOPPYv2Y/edit?usp=sharing"",""งบพรบ!S54"")"),0)</f>
        <v>0</v>
      </c>
      <c r="M52" s="427">
        <f ca="1">IFERROR(__xludf.DUMMYFUNCTION("IMPORTRANGE(""https://docs.google.com/spreadsheets/d/1-uDff_7J0KD5mKrp0Vvzr7lt3OU09vwQwhkpOPPYv2Y/edit?usp=sharing"",""งบพรบ!W54"")"),0)</f>
        <v>0</v>
      </c>
      <c r="N52" s="427">
        <f ca="1">IFERROR(__xludf.DUMMYFUNCTION("IMPORTRANGE(""https://docs.google.com/spreadsheets/d/1-uDff_7J0KD5mKrp0Vvzr7lt3OU09vwQwhkpOPPYv2Y/edit?usp=sharing"",""งบพรบ!Z54"")"),0)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419200</v>
      </c>
      <c r="M59" s="921">
        <f ca="1">M60+M61</f>
        <v>316350</v>
      </c>
      <c r="N59" s="921">
        <f ca="1">N60+N61</f>
        <v>143135.26</v>
      </c>
      <c r="O59" s="921">
        <f ca="1">IF(L59&gt;0,N59*100/L59,0)</f>
        <v>34.144861641221375</v>
      </c>
      <c r="P59" s="921">
        <f ca="1">IF(M59&gt;0,N59*100/M59,0)</f>
        <v>45.245854275327957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419200</v>
      </c>
      <c r="M61" s="913">
        <f ca="1">M64+M67</f>
        <v>316350</v>
      </c>
      <c r="N61" s="913">
        <f ca="1">N64+N67</f>
        <v>143135.26</v>
      </c>
      <c r="O61" s="913">
        <f ca="1">IF(L61&gt;0,N61*100/L61,0)</f>
        <v>34.144861641221375</v>
      </c>
      <c r="P61" s="913">
        <f ca="1">IF(M61&gt;0,N61*100/M61,0)</f>
        <v>45.245854275327957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419200</v>
      </c>
      <c r="M62" s="427">
        <f ca="1">M63+M64</f>
        <v>316350</v>
      </c>
      <c r="N62" s="427">
        <f ca="1">N63+N64</f>
        <v>143135.26</v>
      </c>
      <c r="O62" s="427">
        <f ca="1">IF(L62&gt;0,N62*100/L62,0)</f>
        <v>34.144861641221375</v>
      </c>
      <c r="P62" s="427">
        <f ca="1">IF(M62&gt;0,N62*100/M62,0)</f>
        <v>45.245854275327957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IFERROR(__xludf.DUMMYFUNCTION("IMPORTRANGE(""https://docs.google.com/spreadsheets/d/1-uDff_7J0KD5mKrp0Vvzr7lt3OU09vwQwhkpOPPYv2Y/edit?usp=sharing"",""งบพรบ!AC54"")"),419200)</f>
        <v>419200</v>
      </c>
      <c r="M64" s="427">
        <f ca="1">IFERROR(__xludf.DUMMYFUNCTION("IMPORTRANGE(""https://docs.google.com/spreadsheets/d/1-uDff_7J0KD5mKrp0Vvzr7lt3OU09vwQwhkpOPPYv2Y/edit?usp=sharing"",""งบพรบ!AH54"")"),316350)</f>
        <v>316350</v>
      </c>
      <c r="N64" s="427">
        <f ca="1">IFERROR(__xludf.DUMMYFUNCTION("IMPORTRANGE(""https://docs.google.com/spreadsheets/d/1-uDff_7J0KD5mKrp0Vvzr7lt3OU09vwQwhkpOPPYv2Y/edit?usp=sharing"",""งบพรบ!AJ54"")"),143135.26)</f>
        <v>143135.26</v>
      </c>
      <c r="O64" s="427">
        <f ca="1">IF(L64&gt;0,N64*100/L64,0)</f>
        <v>34.144861641221375</v>
      </c>
      <c r="P64" s="427">
        <f ca="1">IF(M64&gt;0,N64*100/M64,0)</f>
        <v>45.245854275327957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IFERROR(__xludf.DUMMYFUNCTION("IMPORTRANGE(""https://docs.google.com/spreadsheets/d/1-uDff_7J0KD5mKrp0Vvzr7lt3OU09vwQwhkpOPPYv2Y/edit?usp=sharing"",""งบพรบ!AF54"")"),0)</f>
        <v>0</v>
      </c>
      <c r="M67" s="644">
        <f ca="1">IFERROR(__xludf.DUMMYFUNCTION("IMPORTRANGE(""https://docs.google.com/spreadsheets/d/1-uDff_7J0KD5mKrp0Vvzr7lt3OU09vwQwhkpOPPYv2Y/edit?usp=sharing"",""งบพรบ!AI54"")"),0)</f>
        <v>0</v>
      </c>
      <c r="N67" s="644">
        <f ca="1">IFERROR(__xludf.DUMMYFUNCTION("IMPORTRANGE(""https://docs.google.com/spreadsheets/d/1-uDff_7J0KD5mKrp0Vvzr7lt3OU09vwQwhkpOPPYv2Y/edit?usp=sharing"",""งบพรบ!AK54"")"),0)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IFERROR(__xludf.DUMMYFUNCTION("IMPORTRANGE(""https://docs.google.com/spreadsheets/d/1-uDff_7J0KD5mKrp0Vvzr7lt3OU09vwQwhkpOPPYv2Y/edit?usp=sharing"",""งบพรบ!AM54"")"),0)</f>
        <v>0</v>
      </c>
      <c r="M77" s="427">
        <f ca="1">IFERROR(__xludf.DUMMYFUNCTION("IMPORTRANGE(""https://docs.google.com/spreadsheets/d/1-uDff_7J0KD5mKrp0Vvzr7lt3OU09vwQwhkpOPPYv2Y/edit?usp=sharing"",""งบพรบ!AR54"")"),0)</f>
        <v>0</v>
      </c>
      <c r="N77" s="427">
        <f ca="1">IFERROR(__xludf.DUMMYFUNCTION("IMPORTRANGE(""https://docs.google.com/spreadsheets/d/1-uDff_7J0KD5mKrp0Vvzr7lt3OU09vwQwhkpOPPYv2Y/edit?usp=sharing"",""งบพรบ!AT54"")"),0)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IFERROR(__xludf.DUMMYFUNCTION("IMPORTRANGE(""https://docs.google.com/spreadsheets/d/1-uDff_7J0KD5mKrp0Vvzr7lt3OU09vwQwhkpOPPYv2Y/edit?usp=sharing"",""งบพรบ!AP54"")"),0)</f>
        <v>0</v>
      </c>
      <c r="M80" s="427">
        <f ca="1">IFERROR(__xludf.DUMMYFUNCTION("IMPORTRANGE(""https://docs.google.com/spreadsheets/d/1-uDff_7J0KD5mKrp0Vvzr7lt3OU09vwQwhkpOPPYv2Y/edit?usp=sharing"",""งบพรบ!AS54"")"),0)</f>
        <v>0</v>
      </c>
      <c r="N80" s="427">
        <f ca="1">IFERROR(__xludf.DUMMYFUNCTION("IMPORTRANGE(""https://docs.google.com/spreadsheets/d/1-uDff_7J0KD5mKrp0Vvzr7lt3OU09vwQwhkpOPPYv2Y/edit?usp=sharing"",""งบพรบ!AU54"")"),0)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IFERROR(__xludf.DUMMYFUNCTION("IMPORTRANGE(""https://docs.google.com/spreadsheets/d/1eHaY18a8A9IcSdp1K8H6x8fbOy06t2VsZHhMHf-1x7Y/edit?usp=sharing"",""แผน!H54"")"),0)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IFERROR(__xludf.DUMMYFUNCTION("IMPORTRANGE(""https://docs.google.com/spreadsheets/d/1eHaY18a8A9IcSdp1K8H6x8fbOy06t2VsZHhMHf-1x7Y/edit?usp=sharing"",""แผน!I54"")"),0)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IFERROR(__xludf.DUMMYFUNCTION("IMPORTRANGE(""https://docs.google.com/spreadsheets/d/1eHaY18a8A9IcSdp1K8H6x8fbOy06t2VsZHhMHf-1x7Y/edit?usp=sharing"",""แผน!F54"")"),0)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IFERROR(__xludf.DUMMYFUNCTION("IMPORTRANGE(""https://docs.google.com/spreadsheets/d/1eHaY18a8A9IcSdp1K8H6x8fbOy06t2VsZHhMHf-1x7Y/edit?usp=sharing"",""แผน!G54"")"),0)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IFERROR(__xludf.DUMMYFUNCTION("IMPORTRANGE(""https://docs.google.com/spreadsheets/d/1eHaY18a8A9IcSdp1K8H6x8fbOy06t2VsZHhMHf-1x7Y/edit?usp=sharing"",""แผน!D54"")"),0)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IFERROR(__xludf.DUMMYFUNCTION("IMPORTRANGE(""https://docs.google.com/spreadsheets/d/1eHaY18a8A9IcSdp1K8H6x8fbOy06t2VsZHhMHf-1x7Y/edit?usp=sharing"",""แผน!E54"")"),0)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IFERROR(__xludf.DUMMYFUNCTION("IMPORTRANGE(""https://docs.google.com/spreadsheets/d/1eHaY18a8A9IcSdp1K8H6x8fbOy06t2VsZHhMHf-1x7Y/edit?usp=sharing"",""แผน!J54"")"),0)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IFERROR(__xludf.DUMMYFUNCTION("IMPORTRANGE(""https://docs.google.com/spreadsheets/d/1-uDff_7J0KD5mKrp0Vvzr7lt3OU09vwQwhkpOPPYv2Y/edit?usp=sharing"",""งบพรบ!AW54"")"),0)</f>
        <v>0</v>
      </c>
      <c r="M99" s="427">
        <f ca="1">IFERROR(__xludf.DUMMYFUNCTION("IMPORTRANGE(""https://docs.google.com/spreadsheets/d/1-uDff_7J0KD5mKrp0Vvzr7lt3OU09vwQwhkpOPPYv2Y/edit?usp=sharing"",""งบพรบ!BB54"")"),0)</f>
        <v>0</v>
      </c>
      <c r="N99" s="427">
        <f ca="1">IFERROR(__xludf.DUMMYFUNCTION("IMPORTRANGE(""https://docs.google.com/spreadsheets/d/1-uDff_7J0KD5mKrp0Vvzr7lt3OU09vwQwhkpOPPYv2Y/edit?usp=sharing"",""งบพรบ!BD54"")"),0)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IFERROR(__xludf.DUMMYFUNCTION("IMPORTRANGE(""https://docs.google.com/spreadsheets/d/1-uDff_7J0KD5mKrp0Vvzr7lt3OU09vwQwhkpOPPYv2Y/edit?usp=sharing"",""งบพรบ!AZ54"")"),0)</f>
        <v>0</v>
      </c>
      <c r="M102" s="427">
        <f ca="1">IFERROR(__xludf.DUMMYFUNCTION("IMPORTRANGE(""https://docs.google.com/spreadsheets/d/1-uDff_7J0KD5mKrp0Vvzr7lt3OU09vwQwhkpOPPYv2Y/edit?usp=sharing"",""งบพรบ!BC54"")"),0)</f>
        <v>0</v>
      </c>
      <c r="N102" s="427">
        <f ca="1">IFERROR(__xludf.DUMMYFUNCTION("IMPORTRANGE(""https://docs.google.com/spreadsheets/d/1-uDff_7J0KD5mKrp0Vvzr7lt3OU09vwQwhkpOPPYv2Y/edit?usp=sharing"",""งบพรบ!BE54"")"),0)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IFERROR(__xludf.DUMMYFUNCTION("IMPORTRANGE(""https://docs.google.com/spreadsheets/d/1eHaY18a8A9IcSdp1K8H6x8fbOy06t2VsZHhMHf-1x7Y/edit?usp=sharing"",""แผน!N54"")"),0)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IFERROR(__xludf.DUMMYFUNCTION("IMPORTRANGE(""https://docs.google.com/spreadsheets/d/1eHaY18a8A9IcSdp1K8H6x8fbOy06t2VsZHhMHf-1x7Y/edit?usp=sharing"",""แผน!O54"")"),0)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IFERROR(__xludf.DUMMYFUNCTION("IMPORTRANGE(""https://docs.google.com/spreadsheets/d/1eHaY18a8A9IcSdp1K8H6x8fbOy06t2VsZHhMHf-1x7Y/edit?usp=sharing"",""แผน!R54"")"),0)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IFERROR(__xludf.DUMMYFUNCTION("IMPORTRANGE(""https://docs.google.com/spreadsheets/d/1-uDff_7J0KD5mKrp0Vvzr7lt3OU09vwQwhkpOPPYv2Y/edit?usp=sharing"",""งบพรบ!BG54"")"),0)</f>
        <v>0</v>
      </c>
      <c r="M130" s="886">
        <f ca="1">IFERROR(__xludf.DUMMYFUNCTION("IMPORTRANGE(""https://docs.google.com/spreadsheets/d/1-uDff_7J0KD5mKrp0Vvzr7lt3OU09vwQwhkpOPPYv2Y/edit?usp=sharing"",""งบพรบ!BL54"")"),0)</f>
        <v>0</v>
      </c>
      <c r="N130" s="886">
        <f ca="1">IFERROR(__xludf.DUMMYFUNCTION("IMPORTRANGE(""https://docs.google.com/spreadsheets/d/1-uDff_7J0KD5mKrp0Vvzr7lt3OU09vwQwhkpOPPYv2Y/edit?usp=sharing"",""งบพรบ!BN54"")"),0)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IFERROR(__xludf.DUMMYFUNCTION("IMPORTRANGE(""https://docs.google.com/spreadsheets/d/1-uDff_7J0KD5mKrp0Vvzr7lt3OU09vwQwhkpOPPYv2Y/edit?usp=sharing"",""งบพรบ!BJ54"")"),0)</f>
        <v>0</v>
      </c>
      <c r="M133" s="886">
        <f ca="1">IFERROR(__xludf.DUMMYFUNCTION("IMPORTRANGE(""https://docs.google.com/spreadsheets/d/1-uDff_7J0KD5mKrp0Vvzr7lt3OU09vwQwhkpOPPYv2Y/edit?usp=sharing"",""งบพรบ!BM54"")"),0)</f>
        <v>0</v>
      </c>
      <c r="N133" s="886">
        <f ca="1">IFERROR(__xludf.DUMMYFUNCTION("IMPORTRANGE(""https://docs.google.com/spreadsheets/d/1-uDff_7J0KD5mKrp0Vvzr7lt3OU09vwQwhkpOPPYv2Y/edit?usp=sharing"",""งบพรบ!BO54"")"),0)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IFERROR(__xludf.DUMMYFUNCTION("IMPORTRANGE(""https://docs.google.com/spreadsheets/d/1-uDff_7J0KD5mKrp0Vvzr7lt3OU09vwQwhkpOPPYv2Y/edit?usp=sharing"",""งบพรบ!BQ54"")"),0)</f>
        <v>0</v>
      </c>
      <c r="M144" s="427">
        <f ca="1">IFERROR(__xludf.DUMMYFUNCTION("IMPORTRANGE(""https://docs.google.com/spreadsheets/d/1-uDff_7J0KD5mKrp0Vvzr7lt3OU09vwQwhkpOPPYv2Y/edit?usp=sharing"",""งบพรบ!BV54"")"),0)</f>
        <v>0</v>
      </c>
      <c r="N144" s="427">
        <f ca="1">IFERROR(__xludf.DUMMYFUNCTION("IMPORTRANGE(""https://docs.google.com/spreadsheets/d/1-uDff_7J0KD5mKrp0Vvzr7lt3OU09vwQwhkpOPPYv2Y/edit?usp=sharing"",""งบพรบ!BX54"")"),0)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IFERROR(__xludf.DUMMYFUNCTION("IMPORTRANGE(""https://docs.google.com/spreadsheets/d/1-uDff_7J0KD5mKrp0Vvzr7lt3OU09vwQwhkpOPPYv2Y/edit?usp=sharing"",""งบพรบ!BT54"")"),0)</f>
        <v>0</v>
      </c>
      <c r="M147" s="427">
        <f ca="1">IFERROR(__xludf.DUMMYFUNCTION("IMPORTRANGE(""https://docs.google.com/spreadsheets/d/1-uDff_7J0KD5mKrp0Vvzr7lt3OU09vwQwhkpOPPYv2Y/edit?usp=sharing"",""งบพรบ!BW54"")"),0)</f>
        <v>0</v>
      </c>
      <c r="N147" s="427">
        <f ca="1">IFERROR(__xludf.DUMMYFUNCTION("IMPORTRANGE(""https://docs.google.com/spreadsheets/d/1-uDff_7J0KD5mKrp0Vvzr7lt3OU09vwQwhkpOPPYv2Y/edit?usp=sharing"",""งบพรบ!BY54"")"),0)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IFERROR(__xludf.DUMMYFUNCTION("IMPORTRANGE(""https://docs.google.com/spreadsheets/d/1eHaY18a8A9IcSdp1K8H6x8fbOy06t2VsZHhMHf-1x7Y/edit?usp=sharing"",""แผน!U54"")"),0)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IFERROR(__xludf.DUMMYFUNCTION("IMPORTRANGE(""https://docs.google.com/spreadsheets/d/1eHaY18a8A9IcSdp1K8H6x8fbOy06t2VsZHhMHf-1x7Y/edit?usp=sharing"",""แผน!V54"")"),0)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IFERROR(__xludf.DUMMYFUNCTION("IMPORTRANGE(""https://docs.google.com/spreadsheets/d/1eHaY18a8A9IcSdp1K8H6x8fbOy06t2VsZHhMHf-1x7Y/edit?usp=sharing"",""แผน!W54"")"),0)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IFERROR(__xludf.DUMMYFUNCTION("IMPORTRANGE(""https://docs.google.com/spreadsheets/d/1eHaY18a8A9IcSdp1K8H6x8fbOy06t2VsZHhMHf-1x7Y/edit?usp=sharing"",""แผน!X54"")"),0)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IFERROR(__xludf.DUMMYFUNCTION("IMPORTRANGE(""https://docs.google.com/spreadsheets/d/1eHaY18a8A9IcSdp1K8H6x8fbOy06t2VsZHhMHf-1x7Y/edit?usp=sharing"",""แผน!Y54"")"),0)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IFERROR(__xludf.DUMMYFUNCTION("IMPORTRANGE(""https://docs.google.com/spreadsheets/d/1-uDff_7J0KD5mKrp0Vvzr7lt3OU09vwQwhkpOPPYv2Y/edit?usp=sharing"",""งบพรบ!CA54"")"),0)</f>
        <v>0</v>
      </c>
      <c r="M162" s="427">
        <f ca="1">IFERROR(__xludf.DUMMYFUNCTION("IMPORTRANGE(""https://docs.google.com/spreadsheets/d/1-uDff_7J0KD5mKrp0Vvzr7lt3OU09vwQwhkpOPPYv2Y/edit?usp=sharing"",""งบพรบ!CF54"")"),0)</f>
        <v>0</v>
      </c>
      <c r="N162" s="427">
        <f ca="1">IFERROR(__xludf.DUMMYFUNCTION("IMPORTRANGE(""https://docs.google.com/spreadsheets/d/1-uDff_7J0KD5mKrp0Vvzr7lt3OU09vwQwhkpOPPYv2Y/edit?usp=sharing"",""งบพรบ!CH54"")"),0)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IFERROR(__xludf.DUMMYFUNCTION("IMPORTRANGE(""https://docs.google.com/spreadsheets/d/1-uDff_7J0KD5mKrp0Vvzr7lt3OU09vwQwhkpOPPYv2Y/edit?usp=sharing"",""งบพรบ!CD54"")"),0)</f>
        <v>0</v>
      </c>
      <c r="M165" s="427">
        <f ca="1">IFERROR(__xludf.DUMMYFUNCTION("IMPORTRANGE(""https://docs.google.com/spreadsheets/d/1-uDff_7J0KD5mKrp0Vvzr7lt3OU09vwQwhkpOPPYv2Y/edit?usp=sharing"",""งบพรบ!CG54"")"),0)</f>
        <v>0</v>
      </c>
      <c r="N165" s="427">
        <f ca="1">IFERROR(__xludf.DUMMYFUNCTION("IMPORTRANGE(""https://docs.google.com/spreadsheets/d/1-uDff_7J0KD5mKrp0Vvzr7lt3OU09vwQwhkpOPPYv2Y/edit?usp=sharing"",""งบพรบ!CI54"")"),0)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IFERROR(__xludf.DUMMYFUNCTION("IMPORTRANGE(""https://docs.google.com/spreadsheets/d/1eHaY18a8A9IcSdp1K8H6x8fbOy06t2VsZHhMHf-1x7Y/edit?usp=sharing"",""แผน!Z54"")"),0)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IFERROR(__xludf.DUMMYFUNCTION("IMPORTRANGE(""https://docs.google.com/spreadsheets/d/1eHaY18a8A9IcSdp1K8H6x8fbOy06t2VsZHhMHf-1x7Y/edit?usp=sharing"",""แผน!Z54"")"),0)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IFERROR(__xludf.DUMMYFUNCTION("IMPORTRANGE(""https://docs.google.com/spreadsheets/d/1eHaY18a8A9IcSdp1K8H6x8fbOy06t2VsZHhMHf-1x7Y/edit?usp=sharing"",""แผน!Z54"")"),0)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7</v>
      </c>
      <c r="K172" s="850">
        <f ca="1">IF(I172&gt;0,J172*100/I172,0)</f>
        <v>100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19590</v>
      </c>
      <c r="O173" s="737">
        <f ca="1">IF(L173&gt;0,N173*100/L173,0)</f>
        <v>100</v>
      </c>
      <c r="P173" s="737">
        <f ca="1">IF(M173&gt;0,N173*100/M173,0)</f>
        <v>100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19590</v>
      </c>
      <c r="O175" s="427">
        <f ca="1">IF(L175&gt;0,N175*100/L175,0)</f>
        <v>100</v>
      </c>
      <c r="P175" s="427">
        <f ca="1">IF(M175&gt;0,N175*100/M175,0)</f>
        <v>100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19590</v>
      </c>
      <c r="O176" s="427">
        <f ca="1">IF(L176&gt;0,N176*100/L176,0)</f>
        <v>100</v>
      </c>
      <c r="P176" s="427">
        <f ca="1">IF(M176&gt;0,N176*100/M176,0)</f>
        <v>100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IFERROR(__xludf.DUMMYFUNCTION("IMPORTRANGE(""https://docs.google.com/spreadsheets/d/1-uDff_7J0KD5mKrp0Vvzr7lt3OU09vwQwhkpOPPYv2Y/edit?usp=sharing"",""งบพรบ!CK54"")"),19590)</f>
        <v>19590</v>
      </c>
      <c r="M178" s="427">
        <f ca="1">IFERROR(__xludf.DUMMYFUNCTION("IMPORTRANGE(""https://docs.google.com/spreadsheets/d/1-uDff_7J0KD5mKrp0Vvzr7lt3OU09vwQwhkpOPPYv2Y/edit?usp=sharing"",""งบพรบ!CP54"")"),19590)</f>
        <v>19590</v>
      </c>
      <c r="N178" s="427">
        <f ca="1">IFERROR(__xludf.DUMMYFUNCTION("IMPORTRANGE(""https://docs.google.com/spreadsheets/d/1-uDff_7J0KD5mKrp0Vvzr7lt3OU09vwQwhkpOPPYv2Y/edit?usp=sharing"",""งบพรบ!CR54"")"),19590)</f>
        <v>19590</v>
      </c>
      <c r="O178" s="427">
        <f ca="1">IF(L178&gt;0,N178*100/L178,0)</f>
        <v>100</v>
      </c>
      <c r="P178" s="427">
        <f ca="1">IF(M178&gt;0,N178*100/M178,0)</f>
        <v>100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IFERROR(__xludf.DUMMYFUNCTION("IMPORTRANGE(""https://docs.google.com/spreadsheets/d/1-uDff_7J0KD5mKrp0Vvzr7lt3OU09vwQwhkpOPPYv2Y/edit?usp=sharing"",""งบพรบ!CN54"")"),0)</f>
        <v>0</v>
      </c>
      <c r="M181" s="427">
        <f ca="1">IFERROR(__xludf.DUMMYFUNCTION("IMPORTRANGE(""https://docs.google.com/spreadsheets/d/1-uDff_7J0KD5mKrp0Vvzr7lt3OU09vwQwhkpOPPYv2Y/edit?usp=sharing"",""งบพรบ!CQ54"")"),0)</f>
        <v>0</v>
      </c>
      <c r="N181" s="427">
        <f ca="1">IFERROR(__xludf.DUMMYFUNCTION("IMPORTRANGE(""https://docs.google.com/spreadsheets/d/1-uDff_7J0KD5mKrp0Vvzr7lt3OU09vwQwhkpOPPYv2Y/edit?usp=sharing"",""งบพรบ!CS54"")"),0)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IFERROR(__xludf.DUMMYFUNCTION("IMPORTRANGE(""https://docs.google.com/spreadsheets/d/1eHaY18a8A9IcSdp1K8H6x8fbOy06t2VsZHhMHf-1x7Y/edit?usp=sharing"",""แผน!AA54"")"),7)</f>
        <v>7</v>
      </c>
      <c r="J183" s="758">
        <v>7</v>
      </c>
      <c r="K183" s="427">
        <f ca="1">IF(I183&gt;0,J183*100/I183,0)</f>
        <v>100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10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263400</v>
      </c>
      <c r="M186" s="737">
        <f ca="1">M187+M188</f>
        <v>200700</v>
      </c>
      <c r="N186" s="737">
        <f ca="1">N187+N188</f>
        <v>58739.99</v>
      </c>
      <c r="O186" s="737">
        <f ca="1">IF(L186&gt;0,N186*100/L186,0)</f>
        <v>22.300679574791193</v>
      </c>
      <c r="P186" s="737">
        <f ca="1">IF(M186&gt;0,N186*100/M186,0)</f>
        <v>29.267558545092179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263400</v>
      </c>
      <c r="M188" s="427">
        <f ca="1">M191+M194</f>
        <v>200700</v>
      </c>
      <c r="N188" s="427">
        <f ca="1">N191+N194</f>
        <v>58739.99</v>
      </c>
      <c r="O188" s="427">
        <f ca="1">IF(L188&gt;0,N188*100/L188,0)</f>
        <v>22.300679574791193</v>
      </c>
      <c r="P188" s="427">
        <f ca="1">IF(M188&gt;0,N188*100/M188,0)</f>
        <v>29.267558545092179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263400</v>
      </c>
      <c r="M189" s="427">
        <f ca="1">M190+M191</f>
        <v>200700</v>
      </c>
      <c r="N189" s="427">
        <f ca="1">N190+N191</f>
        <v>58739.99</v>
      </c>
      <c r="O189" s="427">
        <f ca="1">IF(L189&gt;0,N189*100/L189,0)</f>
        <v>22.300679574791193</v>
      </c>
      <c r="P189" s="427">
        <f ca="1">IF(M189&gt;0,N189*100/M189,0)</f>
        <v>29.267558545092179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IFERROR(__xludf.DUMMYFUNCTION("IMPORTRANGE(""https://docs.google.com/spreadsheets/d/1-uDff_7J0KD5mKrp0Vvzr7lt3OU09vwQwhkpOPPYv2Y/edit?usp=sharing"",""งบพรบ!CU54"")"),263400)</f>
        <v>263400</v>
      </c>
      <c r="M191" s="427">
        <f ca="1">IFERROR(__xludf.DUMMYFUNCTION("IMPORTRANGE(""https://docs.google.com/spreadsheets/d/1-uDff_7J0KD5mKrp0Vvzr7lt3OU09vwQwhkpOPPYv2Y/edit?usp=sharing"",""งบพรบ!CZ54"")"),200700)</f>
        <v>200700</v>
      </c>
      <c r="N191" s="427">
        <f ca="1">IFERROR(__xludf.DUMMYFUNCTION("IMPORTRANGE(""https://docs.google.com/spreadsheets/d/1-uDff_7J0KD5mKrp0Vvzr7lt3OU09vwQwhkpOPPYv2Y/edit?usp=sharing"",""งบพรบ!DB54"")"),58739.99)</f>
        <v>58739.99</v>
      </c>
      <c r="O191" s="427">
        <f ca="1">IF(L191&gt;0,N191*100/L191,0)</f>
        <v>22.300679574791193</v>
      </c>
      <c r="P191" s="427">
        <f ca="1">IF(M191&gt;0,N191*100/M191,0)</f>
        <v>29.267558545092179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IFERROR(__xludf.DUMMYFUNCTION("IMPORTRANGE(""https://docs.google.com/spreadsheets/d/1-uDff_7J0KD5mKrp0Vvzr7lt3OU09vwQwhkpOPPYv2Y/edit?usp=sharing"",""งบพรบ!CX54"")"),0)</f>
        <v>0</v>
      </c>
      <c r="M194" s="427">
        <f ca="1">IFERROR(__xludf.DUMMYFUNCTION("IMPORTRANGE(""https://docs.google.com/spreadsheets/d/1-uDff_7J0KD5mKrp0Vvzr7lt3OU09vwQwhkpOPPYv2Y/edit?usp=sharing"",""งบพรบ!DA54"")"),0)</f>
        <v>0</v>
      </c>
      <c r="N194" s="427">
        <f ca="1">IFERROR(__xludf.DUMMYFUNCTION("IMPORTRANGE(""https://docs.google.com/spreadsheets/d/1-uDff_7J0KD5mKrp0Vvzr7lt3OU09vwQwhkpOPPYv2Y/edit?usp=sharing"",""งบพรบ!DC54"")"),0)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IFERROR(__xludf.DUMMYFUNCTION("IMPORTRANGE(""https://docs.google.com/spreadsheets/d/1eHaY18a8A9IcSdp1K8H6x8fbOy06t2VsZHhMHf-1x7Y/edit?usp=sharing"",""แผน!AB54"")"),6000)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IFERROR(__xludf.DUMMYFUNCTION("IMPORTRANGE(""https://docs.google.com/spreadsheets/d/1eHaY18a8A9IcSdp1K8H6x8fbOy06t2VsZHhMHf-1x7Y/edit?usp=sharing"",""แผน!AE54"")"),4)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80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80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1</v>
      </c>
      <c r="K202" s="441">
        <f ca="1">IF(I202&gt;0,J202*100/I202,0)</f>
        <v>100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8000</v>
      </c>
      <c r="O203" s="737">
        <f ca="1">IF(L203&gt;0,N203*100/L203,0)</f>
        <v>61.53846153846154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IFERROR(__xludf.DUMMYFUNCTION("IMPORTRANGE(""https://docs.google.com/spreadsheets/d/1eHaY18a8A9IcSdp1K8H6x8fbOy06t2VsZHhMHf-1x7Y/edit?usp=sharing"",""แผน!AG54"")"),1000)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IFERROR(__xludf.DUMMYFUNCTION("IMPORTRANGE(""https://docs.google.com/spreadsheets/d/1eHaY18a8A9IcSdp1K8H6x8fbOy06t2VsZHhMHf-1x7Y/edit?usp=sharing"",""แผน!AH54"")"),0)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IFERROR(__xludf.DUMMYFUNCTION("IMPORTRANGE(""https://docs.google.com/spreadsheets/d/1eHaY18a8A9IcSdp1K8H6x8fbOy06t2VsZHhMHf-1x7Y/edit?usp=sharing"",""แผน!AI54"")"),8000)</f>
        <v>8000</v>
      </c>
      <c r="M206" s="430"/>
      <c r="N206" s="840">
        <v>8000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IFERROR(__xludf.DUMMYFUNCTION("IMPORTRANGE(""https://docs.google.com/spreadsheets/d/1eHaY18a8A9IcSdp1K8H6x8fbOy06t2VsZHhMHf-1x7Y/edit?usp=sharing"",""แผน!AJ54"")"),4000)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IFERROR(__xludf.DUMMYFUNCTION("IMPORTRANGE(""https://docs.google.com/spreadsheets/d/1eHaY18a8A9IcSdp1K8H6x8fbOy06t2VsZHhMHf-1x7Y/edit?usp=sharing"",""แผน!AK54"")"),1)</f>
        <v>1</v>
      </c>
      <c r="J209" s="758">
        <v>1</v>
      </c>
      <c r="K209" s="789">
        <f ca="1">IF(I209&gt;0,J209*100/I209,0)</f>
        <v>100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IFERROR(__xludf.DUMMYFUNCTION("IMPORTRANGE(""https://docs.google.com/spreadsheets/d/1eHaY18a8A9IcSdp1K8H6x8fbOy06t2VsZHhMHf-1x7Y/edit?usp=sharing"",""แผน!JX54"")"),1)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IFERROR(__xludf.DUMMYFUNCTION("IMPORTRANGE(""https://docs.google.com/spreadsheets/d/1eHaY18a8A9IcSdp1K8H6x8fbOy06t2VsZHhMHf-1x7Y/edit?usp=sharing"",""แผน!JY54"")"),0)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1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14000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IFERROR(__xludf.DUMMYFUNCTION("IMPORTRANGE(""https://docs.google.com/spreadsheets/d/1eHaY18a8A9IcSdp1K8H6x8fbOy06t2VsZHhMHf-1x7Y/edit?usp=sharing"",""แผน!AM54"")"),1000)</f>
        <v>1000</v>
      </c>
      <c r="M215" s="430"/>
      <c r="N215" s="840">
        <v>0</v>
      </c>
      <c r="O215" s="700"/>
      <c r="P215" s="430"/>
    </row>
    <row r="216" spans="1:16" ht="18.75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IFERROR(__xludf.DUMMYFUNCTION("IMPORTRANGE(""https://docs.google.com/spreadsheets/d/1eHaY18a8A9IcSdp1K8H6x8fbOy06t2VsZHhMHf-1x7Y/edit?usp=sharing"",""แผน!AN54"")"),5000)</f>
        <v>5000</v>
      </c>
      <c r="M216" s="430"/>
      <c r="N216" s="840">
        <v>0</v>
      </c>
      <c r="O216" s="700"/>
      <c r="P216" s="430"/>
    </row>
    <row r="217" spans="1:16" ht="18.75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IFERROR(__xludf.DUMMYFUNCTION("IMPORTRANGE(""https://docs.google.com/spreadsheets/d/1eHaY18a8A9IcSdp1K8H6x8fbOy06t2VsZHhMHf-1x7Y/edit?usp=sharing"",""แผน!AO54"")"),8000)</f>
        <v>8000</v>
      </c>
      <c r="M217" s="430"/>
      <c r="N217" s="840">
        <v>0</v>
      </c>
      <c r="O217" s="700"/>
      <c r="P217" s="430"/>
    </row>
    <row r="218" spans="1:16" ht="19.5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IFERROR(__xludf.DUMMYFUNCTION("IMPORTRANGE(""https://docs.google.com/spreadsheets/d/1eHaY18a8A9IcSdp1K8H6x8fbOy06t2VsZHhMHf-1x7Y/edit?usp=sharing"",""แผน!AP54"")"),1)</f>
        <v>1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IFERROR(__xludf.DUMMYFUNCTION("IMPORTRANGE(""https://docs.google.com/spreadsheets/d/1eHaY18a8A9IcSdp1K8H6x8fbOy06t2VsZHhMHf-1x7Y/edit?usp=sharing"",""แผน!AP54"")"),1)</f>
        <v>1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12800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IFERROR(__xludf.DUMMYFUNCTION("IMPORTRANGE(""https://docs.google.com/spreadsheets/d/1eHaY18a8A9IcSdp1K8H6x8fbOy06t2VsZHhMHf-1x7Y/edit?usp=sharing"",""แผน!AR54"")"),3000)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IFERROR(__xludf.DUMMYFUNCTION("IMPORTRANGE(""https://docs.google.com/spreadsheets/d/1eHaY18a8A9IcSdp1K8H6x8fbOy06t2VsZHhMHf-1x7Y/edit?usp=sharing"",""แผน!AS54"")"),1500)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IFERROR(__xludf.DUMMYFUNCTION("IMPORTRANGE(""https://docs.google.com/spreadsheets/d/1eHaY18a8A9IcSdp1K8H6x8fbOy06t2VsZHhMHf-1x7Y/edit?usp=sharing"",""แผน!AT54"")"),0)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IFERROR(__xludf.DUMMYFUNCTION("IMPORTRANGE(""https://docs.google.com/spreadsheets/d/1eHaY18a8A9IcSdp1K8H6x8fbOy06t2VsZHhMHf-1x7Y/edit?usp=sharing"",""แผน!AV54"")"),12800)</f>
        <v>12800</v>
      </c>
      <c r="J228" s="758">
        <v>12800</v>
      </c>
      <c r="K228" s="789">
        <f ca="1">IF(I228&gt;0,J228*100/I228,0)</f>
        <v>100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IFERROR(__xludf.DUMMYFUNCTION("IMPORTRANGE(""https://docs.google.com/spreadsheets/d/1eHaY18a8A9IcSdp1K8H6x8fbOy06t2VsZHhMHf-1x7Y/edit?usp=sharing"",""แผน!AV54"")"),12800)</f>
        <v>12800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IFERROR(__xludf.DUMMYFUNCTION("IMPORTRANGE(""https://docs.google.com/spreadsheets/d/1eHaY18a8A9IcSdp1K8H6x8fbOy06t2VsZHhMHf-1x7Y/edit?usp=sharing"",""แผน!AU54"")"),0)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10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57700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27700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20000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10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10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160</v>
      </c>
      <c r="D242" s="284"/>
      <c r="E242" s="284"/>
      <c r="F242" s="284"/>
      <c r="G242" s="285"/>
      <c r="H242" s="286" t="s">
        <v>33</v>
      </c>
      <c r="I242" s="287">
        <f ca="1">I249</f>
        <v>10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57700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IFERROR(__xludf.DUMMYFUNCTION("IMPORTRANGE(""https://docs.google.com/spreadsheets/d/1eHaY18a8A9IcSdp1K8H6x8fbOy06t2VsZHhMHf-1x7Y/edit?usp=sharing"",""แผน!AX54"")"),8000)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IFERROR(__xludf.DUMMYFUNCTION("IMPORTRANGE(""https://docs.google.com/spreadsheets/d/1eHaY18a8A9IcSdp1K8H6x8fbOy06t2VsZHhMHf-1x7Y/edit?usp=sharing"",""แผน!AY54"")"),2000)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IFERROR(__xludf.DUMMYFUNCTION("IMPORTRANGE(""https://docs.google.com/spreadsheets/d/1eHaY18a8A9IcSdp1K8H6x8fbOy06t2VsZHhMHf-1x7Y/edit?usp=sharing"",""แผน!AZ54"")"),27700)</f>
        <v>27700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IFERROR(__xludf.DUMMYFUNCTION("IMPORTRANGE(""https://docs.google.com/spreadsheets/d/1eHaY18a8A9IcSdp1K8H6x8fbOy06t2VsZHhMHf-1x7Y/edit?usp=sharing"",""แผน!BA54"")"),20000)</f>
        <v>20000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IFERROR(__xludf.DUMMYFUNCTION("IMPORTRANGE(""https://docs.google.com/spreadsheets/d/1eHaY18a8A9IcSdp1K8H6x8fbOy06t2VsZHhMHf-1x7Y/edit?usp=sharing"",""แผน!BG54"")"),10)</f>
        <v>10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IFERROR(__xludf.DUMMYFUNCTION("IMPORTRANGE(""https://docs.google.com/spreadsheets/d/1eHaY18a8A9IcSdp1K8H6x8fbOy06t2VsZHhMHf-1x7Y/edit?usp=sharing"",""แผน!KD54"")"),10)</f>
        <v>10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IFERROR(__xludf.DUMMYFUNCTION("IMPORTRANGE(""https://docs.google.com/spreadsheets/d/1eHaY18a8A9IcSdp1K8H6x8fbOy06t2VsZHhMHf-1x7Y/edit?usp=sharing"",""แผน!KE54"")"),1)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IFERROR(__xludf.DUMMYFUNCTION("IMPORTRANGE(""https://docs.google.com/spreadsheets/d/1eHaY18a8A9IcSdp1K8H6x8fbOy06t2VsZHhMHf-1x7Y/edit?usp=sharing"",""แผน!BB54"")"),0)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IFERROR(__xludf.DUMMYFUNCTION("IMPORTRANGE(""https://docs.google.com/spreadsheets/d/1eHaY18a8A9IcSdp1K8H6x8fbOy06t2VsZHhMHf-1x7Y/edit?usp=sharing"",""แผน!BC54"")"),0)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IFERROR(__xludf.DUMMYFUNCTION("IMPORTRANGE(""https://docs.google.com/spreadsheets/d/1eHaY18a8A9IcSdp1K8H6x8fbOy06t2VsZHhMHf-1x7Y/edit?usp=sharing"",""แผน!BD54"")"),0)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IFERROR(__xludf.DUMMYFUNCTION("IMPORTRANGE(""https://docs.google.com/spreadsheets/d/1eHaY18a8A9IcSdp1K8H6x8fbOy06t2VsZHhMHf-1x7Y/edit?usp=sharing"",""แผน!BE54"")"),0)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IFERROR(__xludf.DUMMYFUNCTION("IMPORTRANGE(""https://docs.google.com/spreadsheets/d/1eHaY18a8A9IcSdp1K8H6x8fbOy06t2VsZHhMHf-1x7Y/edit?usp=sharing"",""แผน!BH54"")"),0)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IFERROR(__xludf.DUMMYFUNCTION("IMPORTRANGE(""https://docs.google.com/spreadsheets/d/1-uDff_7J0KD5mKrp0Vvzr7lt3OU09vwQwhkpOPPYv2Y/edit?usp=sharing"",""งบพรบ!DE54"")"),0)</f>
        <v>0</v>
      </c>
      <c r="M271" s="522">
        <f ca="1">IFERROR(__xludf.DUMMYFUNCTION("IMPORTRANGE(""https://docs.google.com/spreadsheets/d/1-uDff_7J0KD5mKrp0Vvzr7lt3OU09vwQwhkpOPPYv2Y/edit?usp=sharing"",""งบพรบ!DJ54"")"),0)</f>
        <v>0</v>
      </c>
      <c r="N271" s="522">
        <f ca="1">IFERROR(__xludf.DUMMYFUNCTION("IMPORTRANGE(""https://docs.google.com/spreadsheets/d/1-uDff_7J0KD5mKrp0Vvzr7lt3OU09vwQwhkpOPPYv2Y/edit?usp=sharing"",""งบพรบ!DL54"")"),0)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IFERROR(__xludf.DUMMYFUNCTION("IMPORTRANGE(""https://docs.google.com/spreadsheets/d/1-uDff_7J0KD5mKrp0Vvzr7lt3OU09vwQwhkpOPPYv2Y/edit?usp=sharing"",""งบพรบ!DH54"")"),0)</f>
        <v>0</v>
      </c>
      <c r="M274" s="522">
        <f ca="1">IFERROR(__xludf.DUMMYFUNCTION("IMPORTRANGE(""https://docs.google.com/spreadsheets/d/1-uDff_7J0KD5mKrp0Vvzr7lt3OU09vwQwhkpOPPYv2Y/edit?usp=sharing"",""งบพรบ!DK54"")"),0)</f>
        <v>0</v>
      </c>
      <c r="N274" s="522">
        <f ca="1">IFERROR(__xludf.DUMMYFUNCTION("IMPORTRANGE(""https://docs.google.com/spreadsheets/d/1-uDff_7J0KD5mKrp0Vvzr7lt3OU09vwQwhkpOPPYv2Y/edit?usp=sharing"",""งบพรบ!DM54"")"),0)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IFERROR(__xludf.DUMMYFUNCTION("IMPORTRANGE(""https://docs.google.com/spreadsheets/d/1-uDff_7J0KD5mKrp0Vvzr7lt3OU09vwQwhkpOPPYv2Y/edit?usp=sharing"",""งบพรบ!DO54"")"),0)</f>
        <v>0</v>
      </c>
      <c r="M287" s="427">
        <f ca="1">IFERROR(__xludf.DUMMYFUNCTION("IMPORTRANGE(""https://docs.google.com/spreadsheets/d/1-uDff_7J0KD5mKrp0Vvzr7lt3OU09vwQwhkpOPPYv2Y/edit?usp=sharing"",""งบพรบ!DT54"")"),0)</f>
        <v>0</v>
      </c>
      <c r="N287" s="427">
        <f ca="1">IFERROR(__xludf.DUMMYFUNCTION("IMPORTRANGE(""https://docs.google.com/spreadsheets/d/1-uDff_7J0KD5mKrp0Vvzr7lt3OU09vwQwhkpOPPYv2Y/edit?usp=sharing"",""งบพรบ!DV54"")"),0)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IFERROR(__xludf.DUMMYFUNCTION("IMPORTRANGE(""https://docs.google.com/spreadsheets/d/1-uDff_7J0KD5mKrp0Vvzr7lt3OU09vwQwhkpOPPYv2Y/edit?usp=sharing"",""งบพรบ!DR54"")"),0)</f>
        <v>0</v>
      </c>
      <c r="M290" s="427">
        <f ca="1">IFERROR(__xludf.DUMMYFUNCTION("IMPORTRANGE(""https://docs.google.com/spreadsheets/d/1-uDff_7J0KD5mKrp0Vvzr7lt3OU09vwQwhkpOPPYv2Y/edit?usp=sharing"",""งบพรบ!DU54"")"),0)</f>
        <v>0</v>
      </c>
      <c r="N290" s="427">
        <f ca="1">IFERROR(__xludf.DUMMYFUNCTION("IMPORTRANGE(""https://docs.google.com/spreadsheets/d/1-uDff_7J0KD5mKrp0Vvzr7lt3OU09vwQwhkpOPPYv2Y/edit?usp=sharing"",""งบพรบ!DW54"")"),0)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IFERROR(__xludf.DUMMYFUNCTION("IMPORTRANGE(""https://docs.google.com/spreadsheets/d/1eHaY18a8A9IcSdp1K8H6x8fbOy06t2VsZHhMHf-1x7Y/edit?usp=sharing"",""แผน!EE54"")"),0)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IFERROR(__xludf.DUMMYFUNCTION("IMPORTRANGE(""https://docs.google.com/spreadsheets/d/1eHaY18a8A9IcSdp1K8H6x8fbOy06t2VsZHhMHf-1x7Y/edit?usp=sharing"",""แผน!ED54"")"),0)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IFERROR(__xludf.DUMMYFUNCTION("IMPORTRANGE(""https://docs.google.com/spreadsheets/d/1eHaY18a8A9IcSdp1K8H6x8fbOy06t2VsZHhMHf-1x7Y/edit?usp=sharing"",""แผน!ED54"")"),0)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IFERROR(__xludf.DUMMYFUNCTION("IMPORTRANGE(""https://docs.google.com/spreadsheets/d/1eHaY18a8A9IcSdp1K8H6x8fbOy06t2VsZHhMHf-1x7Y/edit?usp=sharing"",""แผน!ED54"")"),0)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IFERROR(__xludf.DUMMYFUNCTION("IMPORTRANGE(""https://docs.google.com/spreadsheets/d/1-uDff_7J0KD5mKrp0Vvzr7lt3OU09vwQwhkpOPPYv2Y/edit?usp=sharing"",""งบพรบ!DY54"")"),0)</f>
        <v>0</v>
      </c>
      <c r="M308" s="427">
        <f ca="1">IFERROR(__xludf.DUMMYFUNCTION("IMPORTRANGE(""https://docs.google.com/spreadsheets/d/1-uDff_7J0KD5mKrp0Vvzr7lt3OU09vwQwhkpOPPYv2Y/edit?usp=sharing"",""งบพรบ!ED54"")"),0)</f>
        <v>0</v>
      </c>
      <c r="N308" s="427">
        <f ca="1">IFERROR(__xludf.DUMMYFUNCTION("IMPORTRANGE(""https://docs.google.com/spreadsheets/d/1-uDff_7J0KD5mKrp0Vvzr7lt3OU09vwQwhkpOPPYv2Y/edit?usp=sharing"",""งบพรบ!EF54"")"),0)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IFERROR(__xludf.DUMMYFUNCTION("IMPORTRANGE(""https://docs.google.com/spreadsheets/d/1-uDff_7J0KD5mKrp0Vvzr7lt3OU09vwQwhkpOPPYv2Y/edit?usp=sharing"",""งบพรบ!EB54"")"),0)</f>
        <v>0</v>
      </c>
      <c r="M311" s="427">
        <f ca="1">IFERROR(__xludf.DUMMYFUNCTION("IMPORTRANGE(""https://docs.google.com/spreadsheets/d/1-uDff_7J0KD5mKrp0Vvzr7lt3OU09vwQwhkpOPPYv2Y/edit?usp=sharing"",""งบพรบ!EE54"")"),0)</f>
        <v>0</v>
      </c>
      <c r="N311" s="427">
        <f ca="1">IFERROR(__xludf.DUMMYFUNCTION("IMPORTRANGE(""https://docs.google.com/spreadsheets/d/1-uDff_7J0KD5mKrp0Vvzr7lt3OU09vwQwhkpOPPYv2Y/edit?usp=sharing"",""งบพรบ!EG54"")"),0)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IFERROR(__xludf.DUMMYFUNCTION("IMPORTRANGE(""https://docs.google.com/spreadsheets/d/1eHaY18a8A9IcSdp1K8H6x8fbOy06t2VsZHhMHf-1x7Y/edit?usp=sharing"",""แผน!EF54"")"),0)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IFERROR(__xludf.DUMMYFUNCTION("IMPORTRANGE(""https://docs.google.com/spreadsheets/d/1eHaY18a8A9IcSdp1K8H6x8fbOy06t2VsZHhMHf-1x7Y/edit?usp=sharing"",""แผน!EG54"")"),0)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IFERROR(__xludf.DUMMYFUNCTION("IMPORTRANGE(""https://docs.google.com/spreadsheets/d/1eHaY18a8A9IcSdp1K8H6x8fbOy06t2VsZHhMHf-1x7Y/edit?usp=sharing"",""แผน!EH54"")"),0)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IFERROR(__xludf.DUMMYFUNCTION("IMPORTRANGE(""https://docs.google.com/spreadsheets/d/1eHaY18a8A9IcSdp1K8H6x8fbOy06t2VsZHhMHf-1x7Y/edit?usp=sharing"",""แผน!EI54"")"),0)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IFERROR(__xludf.DUMMYFUNCTION("IMPORTRANGE(""https://docs.google.com/spreadsheets/d/1-uDff_7J0KD5mKrp0Vvzr7lt3OU09vwQwhkpOPPYv2Y/edit?usp=sharing"",""งบพรบ!EI54"")"),0)</f>
        <v>0</v>
      </c>
      <c r="M325" s="427">
        <f ca="1">IFERROR(__xludf.DUMMYFUNCTION("IMPORTRANGE(""https://docs.google.com/spreadsheets/d/1-uDff_7J0KD5mKrp0Vvzr7lt3OU09vwQwhkpOPPYv2Y/edit?usp=sharing"",""งบพรบ!EN54"")"),0)</f>
        <v>0</v>
      </c>
      <c r="N325" s="427">
        <f ca="1">IFERROR(__xludf.DUMMYFUNCTION("IMPORTRANGE(""https://docs.google.com/spreadsheets/d/1-uDff_7J0KD5mKrp0Vvzr7lt3OU09vwQwhkpOPPYv2Y/edit?usp=sharing"",""งบพรบ!EP54"")"),0)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IFERROR(__xludf.DUMMYFUNCTION("IMPORTRANGE(""https://docs.google.com/spreadsheets/d/1-uDff_7J0KD5mKrp0Vvzr7lt3OU09vwQwhkpOPPYv2Y/edit?usp=sharing"",""งบพรบ!EL54"")"),0)</f>
        <v>0</v>
      </c>
      <c r="M328" s="427">
        <f ca="1">IFERROR(__xludf.DUMMYFUNCTION("IMPORTRANGE(""https://docs.google.com/spreadsheets/d/1-uDff_7J0KD5mKrp0Vvzr7lt3OU09vwQwhkpOPPYv2Y/edit?usp=sharing"",""งบพรบ!EO54"")"),0)</f>
        <v>0</v>
      </c>
      <c r="N328" s="427">
        <f ca="1">IFERROR(__xludf.DUMMYFUNCTION("IMPORTRANGE(""https://docs.google.com/spreadsheets/d/1-uDff_7J0KD5mKrp0Vvzr7lt3OU09vwQwhkpOPPYv2Y/edit?usp=sharing"",""งบพรบ!EQ54"")"),0)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IFERROR(__xludf.DUMMYFUNCTION("IMPORTRANGE(""https://docs.google.com/spreadsheets/d/1eHaY18a8A9IcSdp1K8H6x8fbOy06t2VsZHhMHf-1x7Y/edit?usp=sharing"",""แผน!EJ54"")"),0)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1060</v>
      </c>
      <c r="J332" s="404">
        <f ca="1">J344+J347+J348+J349+J353</f>
        <v>4045</v>
      </c>
      <c r="K332" s="405">
        <f ca="1">IF(I332&gt;0,J332*100/I332,0)</f>
        <v>381.60377358490564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108000</v>
      </c>
      <c r="M333" s="737">
        <f ca="1">M334+M335</f>
        <v>85750</v>
      </c>
      <c r="N333" s="737">
        <f ca="1">N334+N335</f>
        <v>29100</v>
      </c>
      <c r="O333" s="737">
        <f ca="1">IF(L333&gt;0,N333*100/L333,0)</f>
        <v>26.944444444444443</v>
      </c>
      <c r="P333" s="737">
        <f ca="1">IF(M333&gt;0,N333*100/M333,0)</f>
        <v>33.935860058309039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108000</v>
      </c>
      <c r="M335" s="427">
        <f ca="1">M338+M341</f>
        <v>85750</v>
      </c>
      <c r="N335" s="427">
        <f ca="1">N338+N341</f>
        <v>29100</v>
      </c>
      <c r="O335" s="427">
        <f ca="1">IF(L335&gt;0,N335*100/L335,0)</f>
        <v>26.944444444444443</v>
      </c>
      <c r="P335" s="427">
        <f ca="1">IF(M335&gt;0,N335*100/M335,0)</f>
        <v>33.935860058309039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108000</v>
      </c>
      <c r="M336" s="427">
        <f ca="1">M337+M338</f>
        <v>85750</v>
      </c>
      <c r="N336" s="427">
        <f ca="1">N337+N338</f>
        <v>29100</v>
      </c>
      <c r="O336" s="427">
        <f ca="1">IF(L336&gt;0,N336*100/L336,0)</f>
        <v>26.944444444444443</v>
      </c>
      <c r="P336" s="427">
        <f ca="1">IF(M336&gt;0,N336*100/M336,0)</f>
        <v>33.935860058309039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IFERROR(__xludf.DUMMYFUNCTION("IMPORTRANGE(""https://docs.google.com/spreadsheets/d/1-uDff_7J0KD5mKrp0Vvzr7lt3OU09vwQwhkpOPPYv2Y/edit?usp=sharing"",""งบพรบ!ES54"")"),108000)</f>
        <v>108000</v>
      </c>
      <c r="M338" s="427">
        <f ca="1">IFERROR(__xludf.DUMMYFUNCTION("IMPORTRANGE(""https://docs.google.com/spreadsheets/d/1-uDff_7J0KD5mKrp0Vvzr7lt3OU09vwQwhkpOPPYv2Y/edit?usp=sharing"",""งบพรบ!EX54"")"),85750)</f>
        <v>85750</v>
      </c>
      <c r="N338" s="427">
        <f ca="1">IFERROR(__xludf.DUMMYFUNCTION("IMPORTRANGE(""https://docs.google.com/spreadsheets/d/1-uDff_7J0KD5mKrp0Vvzr7lt3OU09vwQwhkpOPPYv2Y/edit?usp=sharing"",""งบพรบ!EZ54"")"),29100)</f>
        <v>29100</v>
      </c>
      <c r="O338" s="427">
        <f ca="1">IF(L338&gt;0,N338*100/L338,0)</f>
        <v>26.944444444444443</v>
      </c>
      <c r="P338" s="427">
        <f ca="1">IF(M338&gt;0,N338*100/M338,0)</f>
        <v>33.935860058309039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IFERROR(__xludf.DUMMYFUNCTION("IMPORTRANGE(""https://docs.google.com/spreadsheets/d/1-uDff_7J0KD5mKrp0Vvzr7lt3OU09vwQwhkpOPPYv2Y/edit?usp=sharing"",""งบพรบ!EV54"")"),0)</f>
        <v>0</v>
      </c>
      <c r="M341" s="427">
        <f ca="1">IFERROR(__xludf.DUMMYFUNCTION("IMPORTRANGE(""https://docs.google.com/spreadsheets/d/1-uDff_7J0KD5mKrp0Vvzr7lt3OU09vwQwhkpOPPYv2Y/edit?usp=sharing"",""งบพรบ!EY54"")"),0)</f>
        <v>0</v>
      </c>
      <c r="N341" s="427">
        <f ca="1">IFERROR(__xludf.DUMMYFUNCTION("IMPORTRANGE(""https://docs.google.com/spreadsheets/d/1-uDff_7J0KD5mKrp0Vvzr7lt3OU09vwQwhkpOPPYv2Y/edit?usp=sharing"",""งบพรบ!FA54"")"),0)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2626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IFERROR(__xludf.DUMMYFUNCTION("IMPORTRANGE(""https://docs.google.com/spreadsheets/d/1eHaY18a8A9IcSdp1K8H6x8fbOy06t2VsZHhMHf-1x7Y/edit?usp=sharing"",""แผน!EK54"")"),1060)</f>
        <v>1060</v>
      </c>
      <c r="J344" s="426">
        <f ca="1">IFERROR(__xludf.DUMMYFUNCTION("IMPORTRANGE(""https://docs.google.com/spreadsheets/d/1awYsYK3VOup2i3Pq_Yjnu8DRu_mYwSBnCR2QPthd0rU/edit?usp=sharing"",""ศูนย์ยกเว้นโฉนด!D54"")"),1450)</f>
        <v>1450</v>
      </c>
      <c r="K344" s="427">
        <f ca="1">IF(I344&gt;0,J344*100/I344,0)</f>
        <v>136.79245283018867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IFERROR(__xludf.DUMMYFUNCTION("IMPORTRANGE(""https://docs.google.com/spreadsheets/d/1eHaY18a8A9IcSdp1K8H6x8fbOy06t2VsZHhMHf-1x7Y/edit?usp=sharing"",""แผน!EL54"")"),4)</f>
        <v>4</v>
      </c>
      <c r="J346" s="426">
        <f ca="1">IFERROR(__xludf.DUMMYFUNCTION("IMPORTRANGE(""https://docs.google.com/spreadsheets/d/1awYsYK3VOup2i3Pq_Yjnu8DRu_mYwSBnCR2QPthd0rU/edit?usp=sharing"",""ศูนย์รวม!E54"")"),0)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IFERROR(__xludf.DUMMYFUNCTION("IMPORTRANGE(""https://docs.google.com/spreadsheets/d/1awYsYK3VOup2i3Pq_Yjnu8DRu_mYwSBnCR2QPthd0rU/edit?usp=sharing"",""ศูนย์ยกเว้นโฉนด!F54"")"),214)</f>
        <v>214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IFERROR(__xludf.DUMMYFUNCTION("IMPORTRANGE(""https://docs.google.com/spreadsheets/d/1awYsYK3VOup2i3Pq_Yjnu8DRu_mYwSBnCR2QPthd0rU/edit?usp=sharing"",""ศูนย์ยกเว้นโฉนด!G54"")"),962)</f>
        <v>962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IFERROR(__xludf.DUMMYFUNCTION("IMPORTRANGE(""https://docs.google.com/spreadsheets/d/1awYsYK3VOup2i3Pq_Yjnu8DRu_mYwSBnCR2QPthd0rU/edit?usp=sharing"",""ศูนย์ยกเว้นโฉนด!H54"")"),0)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1435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IFERROR(__xludf.DUMMYFUNCTION("IMPORTRANGE(""https://docs.google.com/spreadsheets/d/1awYsYK3VOup2i3Pq_Yjnu8DRu_mYwSBnCR2QPthd0rU/edit?usp=sharing"",""โฉนดM3!G54"")"),16)</f>
        <v>16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IFERROR(__xludf.DUMMYFUNCTION("IMPORTRANGE(""https://docs.google.com/spreadsheets/d/1awYsYK3VOup2i3Pq_Yjnu8DRu_mYwSBnCR2QPthd0rU/edit?usp=sharing"",""โฉนดM3!H54"")"),1419)</f>
        <v>1419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440405</v>
      </c>
      <c r="M356" s="737">
        <f ca="1">M357+M358</f>
        <v>342805</v>
      </c>
      <c r="N356" s="737">
        <f ca="1">N357+N358</f>
        <v>137146.63</v>
      </c>
      <c r="O356" s="737">
        <f ca="1">IF(L356&gt;0,N356*100/L356,0)</f>
        <v>31.141024738592886</v>
      </c>
      <c r="P356" s="737">
        <f ca="1">IF(M356&gt;0,N356*100/M356,0)</f>
        <v>40.007184842694826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440405</v>
      </c>
      <c r="M358" s="427">
        <f ca="1">M361+M364</f>
        <v>342805</v>
      </c>
      <c r="N358" s="427">
        <f ca="1">N361+N364</f>
        <v>137146.63</v>
      </c>
      <c r="O358" s="427">
        <f ca="1">IF(L358&gt;0,N358*100/L358,0)</f>
        <v>31.141024738592886</v>
      </c>
      <c r="P358" s="427">
        <f ca="1">IF(M358&gt;0,N358*100/M358,0)</f>
        <v>40.007184842694826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440405</v>
      </c>
      <c r="M359" s="427">
        <f ca="1">M360+M361</f>
        <v>342805</v>
      </c>
      <c r="N359" s="427">
        <f ca="1">N360+N361</f>
        <v>137146.63</v>
      </c>
      <c r="O359" s="427">
        <f ca="1">IF(L359&gt;0,N359*100/L359,0)</f>
        <v>31.141024738592886</v>
      </c>
      <c r="P359" s="427">
        <f ca="1">IF(M359&gt;0,N359*100/M359,0)</f>
        <v>40.007184842694826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IFERROR(__xludf.DUMMYFUNCTION("IMPORTRANGE(""https://docs.google.com/spreadsheets/d/1-uDff_7J0KD5mKrp0Vvzr7lt3OU09vwQwhkpOPPYv2Y/edit?usp=sharing"",""งบพรบ!FC54"")"),440405)</f>
        <v>440405</v>
      </c>
      <c r="M361" s="427">
        <f ca="1">IFERROR(__xludf.DUMMYFUNCTION("IMPORTRANGE(""https://docs.google.com/spreadsheets/d/1-uDff_7J0KD5mKrp0Vvzr7lt3OU09vwQwhkpOPPYv2Y/edit?usp=sharing"",""งบพรบ!FH54"")"),342805)</f>
        <v>342805</v>
      </c>
      <c r="N361" s="427">
        <f ca="1">IFERROR(__xludf.DUMMYFUNCTION("IMPORTRANGE(""https://docs.google.com/spreadsheets/d/1-uDff_7J0KD5mKrp0Vvzr7lt3OU09vwQwhkpOPPYv2Y/edit?usp=sharing"",""งบพรบ!FJ54"")"),137146.63)</f>
        <v>137146.63</v>
      </c>
      <c r="O361" s="427">
        <f ca="1">IF(L361&gt;0,N361*100/L361,0)</f>
        <v>31.141024738592886</v>
      </c>
      <c r="P361" s="427">
        <f ca="1">IF(M361&gt;0,N361*100/M361,0)</f>
        <v>40.007184842694826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IFERROR(__xludf.DUMMYFUNCTION("IMPORTRANGE(""https://docs.google.com/spreadsheets/d/1-uDff_7J0KD5mKrp0Vvzr7lt3OU09vwQwhkpOPPYv2Y/edit?usp=sharing"",""งบพรบ!FF54"")"),0)</f>
        <v>0</v>
      </c>
      <c r="M364" s="427">
        <f ca="1">IFERROR(__xludf.DUMMYFUNCTION("IMPORTRANGE(""https://docs.google.com/spreadsheets/d/1-uDff_7J0KD5mKrp0Vvzr7lt3OU09vwQwhkpOPPYv2Y/edit?usp=sharing"",""งบพรบ!FI54"")"),0)</f>
        <v>0</v>
      </c>
      <c r="N364" s="427">
        <f ca="1">IFERROR(__xludf.DUMMYFUNCTION("IMPORTRANGE(""https://docs.google.com/spreadsheets/d/1-uDff_7J0KD5mKrp0Vvzr7lt3OU09vwQwhkpOPPYv2Y/edit?usp=sharing"",""งบพรบ!FK54"")"),0)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79</v>
      </c>
      <c r="J365" s="440">
        <f ca="1">J371</f>
        <v>9</v>
      </c>
      <c r="K365" s="441">
        <f ca="1">IF(I365&gt;0,J365*100/I365,0)</f>
        <v>11.39240506329114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IFERROR(__xludf.DUMMYFUNCTION("IMPORTRANGE(""https://docs.google.com/spreadsheets/d/1tdoBKaGub7dwA3U6UFTqxio9LNnvDCQjHKmttSEBsFQ/edit?usp=sharing"",""จัดที่ดิน!AB54"")"),28)</f>
        <v>28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IFERROR(__xludf.DUMMYFUNCTION("IMPORTRANGE(""https://docs.google.com/spreadsheets/d/1eHaY18a8A9IcSdp1K8H6x8fbOy06t2VsZHhMHf-1x7Y/edit?usp=sharing"",""แผน!EW54"")"),730)</f>
        <v>730</v>
      </c>
      <c r="J368" s="726">
        <f ca="1">IFERROR(__xludf.DUMMYFUNCTION("IMPORTRANGE(""https://docs.google.com/spreadsheets/d/1tdoBKaGub7dwA3U6UFTqxio9LNnvDCQjHKmttSEBsFQ/edit?usp=sharing"",""จัดที่ดิน!AC54"")"),351.67)</f>
        <v>351.67</v>
      </c>
      <c r="K368" s="427">
        <f ca="1">IF(I368&gt;0,J368*100/I368,0)</f>
        <v>48.173972602739724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IFERROR(__xludf.DUMMYFUNCTION("IMPORTRANGE(""https://docs.google.com/spreadsheets/d/1eHaY18a8A9IcSdp1K8H6x8fbOy06t2VsZHhMHf-1x7Y/edit?usp=sharing"",""แผน!EX54"")"),119)</f>
        <v>119</v>
      </c>
      <c r="J369" s="426">
        <f ca="1">IFERROR(__xludf.DUMMYFUNCTION("IMPORTRANGE(""https://docs.google.com/spreadsheets/d/1tdoBKaGub7dwA3U6UFTqxio9LNnvDCQjHKmttSEBsFQ/edit?usp=sharing"",""จัดที่ดิน!AD54"")"),9)</f>
        <v>9</v>
      </c>
      <c r="K369" s="427">
        <f ca="1">IF(I369&gt;0,J369*100/I369,0)</f>
        <v>7.5630252100840334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IFERROR(__xludf.DUMMYFUNCTION("IMPORTRANGE(""https://docs.google.com/spreadsheets/d/1tdoBKaGub7dwA3U6UFTqxio9LNnvDCQjHKmttSEBsFQ/edit?usp=sharing"",""จัดที่ดิน!AE54"")"),75.38)</f>
        <v>75.38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IFERROR(__xludf.DUMMYFUNCTION("IMPORTRANGE(""https://docs.google.com/spreadsheets/d/1eHaY18a8A9IcSdp1K8H6x8fbOy06t2VsZHhMHf-1x7Y/edit?usp=sharing"",""แผน!EY54"")"),79)</f>
        <v>79</v>
      </c>
      <c r="J371" s="426">
        <f ca="1">IFERROR(__xludf.DUMMYFUNCTION("IMPORTRANGE(""https://docs.google.com/spreadsheets/d/1tdoBKaGub7dwA3U6UFTqxio9LNnvDCQjHKmttSEBsFQ/edit?usp=sharing"",""จัดที่ดิน!AF54"")"),9)</f>
        <v>9</v>
      </c>
      <c r="K371" s="427">
        <f ca="1">IF(I371&gt;0,J371*100/I371,0)</f>
        <v>11.39240506329114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IFERROR(__xludf.DUMMYFUNCTION("IMPORTRANGE(""https://docs.google.com/spreadsheets/d/1tdoBKaGub7dwA3U6UFTqxio9LNnvDCQjHKmttSEBsFQ/edit?usp=sharing"",""จัดที่ดิน!AG54"")"),75.38)</f>
        <v>75.38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IFERROR(__xludf.DUMMYFUNCTION("IMPORTRANGE(""https://docs.google.com/spreadsheets/d/1-uDff_7J0KD5mKrp0Vvzr7lt3OU09vwQwhkpOPPYv2Y/edit?usp=sharing"",""งบพรบ!FM54"")"),0)</f>
        <v>0</v>
      </c>
      <c r="M382" s="522">
        <f ca="1">IFERROR(__xludf.DUMMYFUNCTION("IMPORTRANGE(""https://docs.google.com/spreadsheets/d/1-uDff_7J0KD5mKrp0Vvzr7lt3OU09vwQwhkpOPPYv2Y/edit?usp=sharing"",""งบพรบ!FR54"")"),0)</f>
        <v>0</v>
      </c>
      <c r="N382" s="522">
        <f ca="1">IFERROR(__xludf.DUMMYFUNCTION("IMPORTRANGE(""https://docs.google.com/spreadsheets/d/1-uDff_7J0KD5mKrp0Vvzr7lt3OU09vwQwhkpOPPYv2Y/edit?usp=sharing"",""งบพรบ!FT54"")"),0)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IFERROR(__xludf.DUMMYFUNCTION("IMPORTRANGE(""https://docs.google.com/spreadsheets/d/1-uDff_7J0KD5mKrp0Vvzr7lt3OU09vwQwhkpOPPYv2Y/edit?usp=sharing"",""งบพรบ!FP54"")"),0)</f>
        <v>0</v>
      </c>
      <c r="M385" s="522">
        <f ca="1">IFERROR(__xludf.DUMMYFUNCTION("IMPORTRANGE(""https://docs.google.com/spreadsheets/d/1-uDff_7J0KD5mKrp0Vvzr7lt3OU09vwQwhkpOPPYv2Y/edit?usp=sharing"",""งบพรบ!FS54"")"),0)</f>
        <v>0</v>
      </c>
      <c r="N385" s="522">
        <f ca="1">IFERROR(__xludf.DUMMYFUNCTION("IMPORTRANGE(""https://docs.google.com/spreadsheets/d/1-uDff_7J0KD5mKrp0Vvzr7lt3OU09vwQwhkpOPPYv2Y/edit?usp=sharing"",""งบพรบ!FU54"")"),0)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93AA-A41D-4DD0-A801-96833EF3818B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166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2447761</v>
      </c>
      <c r="M18" s="865">
        <f ca="1">M19+M20</f>
        <v>2077452</v>
      </c>
      <c r="N18" s="865">
        <f ca="1">N19+N20</f>
        <v>753442.83</v>
      </c>
      <c r="O18" s="865">
        <f ca="1">IF(L18&gt;0,N18*100/L18,0)</f>
        <v>30.780898543607812</v>
      </c>
      <c r="P18" s="865">
        <f ca="1">IF(M18&gt;0,N18*100/M18,0)</f>
        <v>36.26764084079921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2447761</v>
      </c>
      <c r="M20" s="972">
        <f ca="1">M23+M26</f>
        <v>2077452</v>
      </c>
      <c r="N20" s="972">
        <f ca="1">N23+N26</f>
        <v>753442.83</v>
      </c>
      <c r="O20" s="972">
        <f ca="1">IF(L20&gt;0,N20*100/L20,0)</f>
        <v>30.780898543607812</v>
      </c>
      <c r="P20" s="972">
        <f ca="1">IF(M20&gt;0,N20*100/M20,0)</f>
        <v>36.26764084079921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2447761</v>
      </c>
      <c r="M21" s="427">
        <f ca="1">M22+M23</f>
        <v>2077452</v>
      </c>
      <c r="N21" s="427">
        <f ca="1">N22+N23</f>
        <v>753442.83</v>
      </c>
      <c r="O21" s="427">
        <f ca="1">IF(L21&gt;0,N21*100/L21,0)</f>
        <v>30.780898543607812</v>
      </c>
      <c r="P21" s="427">
        <f ca="1">IF(M21&gt;0,N21*100/M21,0)</f>
        <v>36.26764084079921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2447761</v>
      </c>
      <c r="M23" s="427">
        <f ca="1">M49+M64+M77+M99+M130+M144+M162+M191+M178+M271+M287+M308+M325+M338+M361+M382</f>
        <v>2077452</v>
      </c>
      <c r="N23" s="427">
        <f ca="1">N49+N64+N77+N99+N130+N144+N162+N191+N178+N271+N287+N308+N325+N338+N361+N382</f>
        <v>753442.83</v>
      </c>
      <c r="O23" s="427">
        <f ca="1">IF(L23&gt;0,N23*100/L23,0)</f>
        <v>30.780898543607812</v>
      </c>
      <c r="P23" s="427">
        <f ca="1">IF(M23&gt;0,N23*100/M23,0)</f>
        <v>36.26764084079921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2447761</v>
      </c>
      <c r="M40" s="964">
        <f ca="1">M44+M59+M72+M94+M125+M139+M157+M173+M186+M266+M282+M303+M320+M333+M356</f>
        <v>2077452</v>
      </c>
      <c r="N40" s="964">
        <f ca="1">N44+N59+N72+N94+N125+N139+N157+N173+N186+N266+N282+N303+N320+N333+N356</f>
        <v>753442.83</v>
      </c>
      <c r="O40" s="964">
        <f ca="1">IF(L40&gt;0,N40*100/L40,0)</f>
        <v>30.780898543607812</v>
      </c>
      <c r="P40" s="964">
        <f ca="1">IF(M40&gt;0,N40*100/M40,0)</f>
        <v>36.26764084079921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366416</v>
      </c>
      <c r="M44" s="949">
        <f ca="1">M45+M46</f>
        <v>379532</v>
      </c>
      <c r="N44" s="949">
        <f ca="1">N45+N46</f>
        <v>155116</v>
      </c>
      <c r="O44" s="949">
        <f ca="1">IF(L44&gt;0,N44*100/L44,0)</f>
        <v>42.333304222523033</v>
      </c>
      <c r="P44" s="949">
        <f ca="1">IF(M44&gt;0,N44*100/M44,0)</f>
        <v>40.870335044212347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366416</v>
      </c>
      <c r="M46" s="941">
        <f ca="1">M49+M52</f>
        <v>379532</v>
      </c>
      <c r="N46" s="941">
        <f ca="1">N49+N52</f>
        <v>155116</v>
      </c>
      <c r="O46" s="941">
        <f ca="1">IF(L46&gt;0,N46*100/L46,0)</f>
        <v>42.333304222523033</v>
      </c>
      <c r="P46" s="941">
        <f ca="1">IF(M46&gt;0,N46*100/M46,0)</f>
        <v>40.870335044212347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366416</v>
      </c>
      <c r="M47" s="427">
        <f ca="1">M48+M49</f>
        <v>379532</v>
      </c>
      <c r="N47" s="427">
        <f ca="1">N48+N49</f>
        <v>155116</v>
      </c>
      <c r="O47" s="427">
        <f ca="1">IF(L47&gt;0,N47*100/L47,0)</f>
        <v>42.333304222523033</v>
      </c>
      <c r="P47" s="427">
        <f ca="1">IF(M47&gt;0,N47*100/M47,0)</f>
        <v>40.870335044212347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IFERROR(__xludf.DUMMYFUNCTION("IMPORTRANGE(""https://docs.google.com/spreadsheets/d/1-uDff_7J0KD5mKrp0Vvzr7lt3OU09vwQwhkpOPPYv2Y/edit?usp=sharing"",""งบพรบ!P55"")"),366416)</f>
        <v>366416</v>
      </c>
      <c r="M49" s="427">
        <f ca="1">IFERROR(__xludf.DUMMYFUNCTION("IMPORTRANGE(""https://docs.google.com/spreadsheets/d/1-uDff_7J0KD5mKrp0Vvzr7lt3OU09vwQwhkpOPPYv2Y/edit?usp=sharing"",""งบพรบ!V55"")"),379532)</f>
        <v>379532</v>
      </c>
      <c r="N49" s="427">
        <f ca="1">IFERROR(__xludf.DUMMYFUNCTION("IMPORTRANGE(""https://docs.google.com/spreadsheets/d/1-uDff_7J0KD5mKrp0Vvzr7lt3OU09vwQwhkpOPPYv2Y/edit?usp=sharing"",""งบพรบ!Y55"")"),155116)</f>
        <v>155116</v>
      </c>
      <c r="O49" s="427">
        <f ca="1">IF(L49&gt;0,N49*100/L49,0)</f>
        <v>42.333304222523033</v>
      </c>
      <c r="P49" s="427">
        <f ca="1">IF(M49&gt;0,N49*100/M49,0)</f>
        <v>40.870335044212347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IFERROR(__xludf.DUMMYFUNCTION("IMPORTRANGE(""https://docs.google.com/spreadsheets/d/1-uDff_7J0KD5mKrp0Vvzr7lt3OU09vwQwhkpOPPYv2Y/edit?usp=sharing"",""งบพรบ!S55"")"),0)</f>
        <v>0</v>
      </c>
      <c r="M52" s="427">
        <f ca="1">IFERROR(__xludf.DUMMYFUNCTION("IMPORTRANGE(""https://docs.google.com/spreadsheets/d/1-uDff_7J0KD5mKrp0Vvzr7lt3OU09vwQwhkpOPPYv2Y/edit?usp=sharing"",""งบพรบ!W55"")"),0)</f>
        <v>0</v>
      </c>
      <c r="N52" s="427">
        <f ca="1">IFERROR(__xludf.DUMMYFUNCTION("IMPORTRANGE(""https://docs.google.com/spreadsheets/d/1-uDff_7J0KD5mKrp0Vvzr7lt3OU09vwQwhkpOPPYv2Y/edit?usp=sharing"",""งบพรบ!Z55"")"),0)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627100</v>
      </c>
      <c r="M59" s="921">
        <f ca="1">M60+M61</f>
        <v>472350</v>
      </c>
      <c r="N59" s="921">
        <f ca="1">N60+N61</f>
        <v>300757.48</v>
      </c>
      <c r="O59" s="921">
        <f ca="1">IF(L59&gt;0,N59*100/L59,0)</f>
        <v>47.960051028544093</v>
      </c>
      <c r="P59" s="921">
        <f ca="1">IF(M59&gt;0,N59*100/M59,0)</f>
        <v>63.672590240287924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627100</v>
      </c>
      <c r="M61" s="913">
        <f ca="1">M64+M67</f>
        <v>472350</v>
      </c>
      <c r="N61" s="913">
        <f ca="1">N64+N67</f>
        <v>300757.48</v>
      </c>
      <c r="O61" s="913">
        <f ca="1">IF(L61&gt;0,N61*100/L61,0)</f>
        <v>47.960051028544093</v>
      </c>
      <c r="P61" s="913">
        <f ca="1">IF(M61&gt;0,N61*100/M61,0)</f>
        <v>63.672590240287924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627100</v>
      </c>
      <c r="M62" s="427">
        <f ca="1">M63+M64</f>
        <v>472350</v>
      </c>
      <c r="N62" s="427">
        <f ca="1">N63+N64</f>
        <v>300757.48</v>
      </c>
      <c r="O62" s="427">
        <f ca="1">IF(L62&gt;0,N62*100/L62,0)</f>
        <v>47.960051028544093</v>
      </c>
      <c r="P62" s="427">
        <f ca="1">IF(M62&gt;0,N62*100/M62,0)</f>
        <v>63.672590240287924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IFERROR(__xludf.DUMMYFUNCTION("IMPORTRANGE(""https://docs.google.com/spreadsheets/d/1-uDff_7J0KD5mKrp0Vvzr7lt3OU09vwQwhkpOPPYv2Y/edit?usp=sharing"",""งบพรบ!AC55"")"),627100)</f>
        <v>627100</v>
      </c>
      <c r="M64" s="427">
        <f ca="1">IFERROR(__xludf.DUMMYFUNCTION("IMPORTRANGE(""https://docs.google.com/spreadsheets/d/1-uDff_7J0KD5mKrp0Vvzr7lt3OU09vwQwhkpOPPYv2Y/edit?usp=sharing"",""งบพรบ!AH55"")"),472350)</f>
        <v>472350</v>
      </c>
      <c r="N64" s="427">
        <f ca="1">IFERROR(__xludf.DUMMYFUNCTION("IMPORTRANGE(""https://docs.google.com/spreadsheets/d/1-uDff_7J0KD5mKrp0Vvzr7lt3OU09vwQwhkpOPPYv2Y/edit?usp=sharing"",""งบพรบ!AJ55"")"),300757.48)</f>
        <v>300757.48</v>
      </c>
      <c r="O64" s="427">
        <f ca="1">IF(L64&gt;0,N64*100/L64,0)</f>
        <v>47.960051028544093</v>
      </c>
      <c r="P64" s="427">
        <f ca="1">IF(M64&gt;0,N64*100/M64,0)</f>
        <v>63.672590240287924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IFERROR(__xludf.DUMMYFUNCTION("IMPORTRANGE(""https://docs.google.com/spreadsheets/d/1-uDff_7J0KD5mKrp0Vvzr7lt3OU09vwQwhkpOPPYv2Y/edit?usp=sharing"",""งบพรบ!AF55"")"),0)</f>
        <v>0</v>
      </c>
      <c r="M67" s="644">
        <f ca="1">IFERROR(__xludf.DUMMYFUNCTION("IMPORTRANGE(""https://docs.google.com/spreadsheets/d/1-uDff_7J0KD5mKrp0Vvzr7lt3OU09vwQwhkpOPPYv2Y/edit?usp=sharing"",""งบพรบ!AI55"")"),0)</f>
        <v>0</v>
      </c>
      <c r="N67" s="644">
        <f ca="1">IFERROR(__xludf.DUMMYFUNCTION("IMPORTRANGE(""https://docs.google.com/spreadsheets/d/1-uDff_7J0KD5mKrp0Vvzr7lt3OU09vwQwhkpOPPYv2Y/edit?usp=sharing"",""งบพรบ!AK55"")"),0)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IFERROR(__xludf.DUMMYFUNCTION("IMPORTRANGE(""https://docs.google.com/spreadsheets/d/1-uDff_7J0KD5mKrp0Vvzr7lt3OU09vwQwhkpOPPYv2Y/edit?usp=sharing"",""งบพรบ!AM55"")"),0)</f>
        <v>0</v>
      </c>
      <c r="M77" s="427">
        <f ca="1">IFERROR(__xludf.DUMMYFUNCTION("IMPORTRANGE(""https://docs.google.com/spreadsheets/d/1-uDff_7J0KD5mKrp0Vvzr7lt3OU09vwQwhkpOPPYv2Y/edit?usp=sharing"",""งบพรบ!AR55"")"),0)</f>
        <v>0</v>
      </c>
      <c r="N77" s="427">
        <f ca="1">IFERROR(__xludf.DUMMYFUNCTION("IMPORTRANGE(""https://docs.google.com/spreadsheets/d/1-uDff_7J0KD5mKrp0Vvzr7lt3OU09vwQwhkpOPPYv2Y/edit?usp=sharing"",""งบพรบ!AT55"")"),0)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IFERROR(__xludf.DUMMYFUNCTION("IMPORTRANGE(""https://docs.google.com/spreadsheets/d/1-uDff_7J0KD5mKrp0Vvzr7lt3OU09vwQwhkpOPPYv2Y/edit?usp=sharing"",""งบพรบ!AP55"")"),0)</f>
        <v>0</v>
      </c>
      <c r="M80" s="427">
        <f ca="1">IFERROR(__xludf.DUMMYFUNCTION("IMPORTRANGE(""https://docs.google.com/spreadsheets/d/1-uDff_7J0KD5mKrp0Vvzr7lt3OU09vwQwhkpOPPYv2Y/edit?usp=sharing"",""งบพรบ!AS55"")"),0)</f>
        <v>0</v>
      </c>
      <c r="N80" s="427">
        <f ca="1">IFERROR(__xludf.DUMMYFUNCTION("IMPORTRANGE(""https://docs.google.com/spreadsheets/d/1-uDff_7J0KD5mKrp0Vvzr7lt3OU09vwQwhkpOPPYv2Y/edit?usp=sharing"",""งบพรบ!AU55"")"),0)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IFERROR(__xludf.DUMMYFUNCTION("IMPORTRANGE(""https://docs.google.com/spreadsheets/d/1eHaY18a8A9IcSdp1K8H6x8fbOy06t2VsZHhMHf-1x7Y/edit?usp=sharing"",""แผน!H55"")"),0)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IFERROR(__xludf.DUMMYFUNCTION("IMPORTRANGE(""https://docs.google.com/spreadsheets/d/1eHaY18a8A9IcSdp1K8H6x8fbOy06t2VsZHhMHf-1x7Y/edit?usp=sharing"",""แผน!I55"")"),0)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IFERROR(__xludf.DUMMYFUNCTION("IMPORTRANGE(""https://docs.google.com/spreadsheets/d/1eHaY18a8A9IcSdp1K8H6x8fbOy06t2VsZHhMHf-1x7Y/edit?usp=sharing"",""แผน!F55"")"),0)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IFERROR(__xludf.DUMMYFUNCTION("IMPORTRANGE(""https://docs.google.com/spreadsheets/d/1eHaY18a8A9IcSdp1K8H6x8fbOy06t2VsZHhMHf-1x7Y/edit?usp=sharing"",""แผน!G55"")"),0)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IFERROR(__xludf.DUMMYFUNCTION("IMPORTRANGE(""https://docs.google.com/spreadsheets/d/1eHaY18a8A9IcSdp1K8H6x8fbOy06t2VsZHhMHf-1x7Y/edit?usp=sharing"",""แผน!D55"")"),0)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IFERROR(__xludf.DUMMYFUNCTION("IMPORTRANGE(""https://docs.google.com/spreadsheets/d/1eHaY18a8A9IcSdp1K8H6x8fbOy06t2VsZHhMHf-1x7Y/edit?usp=sharing"",""แผน!E55"")"),0)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IFERROR(__xludf.DUMMYFUNCTION("IMPORTRANGE(""https://docs.google.com/spreadsheets/d/1eHaY18a8A9IcSdp1K8H6x8fbOy06t2VsZHhMHf-1x7Y/edit?usp=sharing"",""แผน!J55"")"),0)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IFERROR(__xludf.DUMMYFUNCTION("IMPORTRANGE(""https://docs.google.com/spreadsheets/d/1-uDff_7J0KD5mKrp0Vvzr7lt3OU09vwQwhkpOPPYv2Y/edit?usp=sharing"",""งบพรบ!AW55"")"),0)</f>
        <v>0</v>
      </c>
      <c r="M99" s="427">
        <f ca="1">IFERROR(__xludf.DUMMYFUNCTION("IMPORTRANGE(""https://docs.google.com/spreadsheets/d/1-uDff_7J0KD5mKrp0Vvzr7lt3OU09vwQwhkpOPPYv2Y/edit?usp=sharing"",""งบพรบ!BB55"")"),0)</f>
        <v>0</v>
      </c>
      <c r="N99" s="427">
        <f ca="1">IFERROR(__xludf.DUMMYFUNCTION("IMPORTRANGE(""https://docs.google.com/spreadsheets/d/1-uDff_7J0KD5mKrp0Vvzr7lt3OU09vwQwhkpOPPYv2Y/edit?usp=sharing"",""งบพรบ!BD55"")"),0)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IFERROR(__xludf.DUMMYFUNCTION("IMPORTRANGE(""https://docs.google.com/spreadsheets/d/1-uDff_7J0KD5mKrp0Vvzr7lt3OU09vwQwhkpOPPYv2Y/edit?usp=sharing"",""งบพรบ!AZ55"")"),0)</f>
        <v>0</v>
      </c>
      <c r="M102" s="427">
        <f ca="1">IFERROR(__xludf.DUMMYFUNCTION("IMPORTRANGE(""https://docs.google.com/spreadsheets/d/1-uDff_7J0KD5mKrp0Vvzr7lt3OU09vwQwhkpOPPYv2Y/edit?usp=sharing"",""งบพรบ!BC55"")"),0)</f>
        <v>0</v>
      </c>
      <c r="N102" s="427">
        <f ca="1">IFERROR(__xludf.DUMMYFUNCTION("IMPORTRANGE(""https://docs.google.com/spreadsheets/d/1-uDff_7J0KD5mKrp0Vvzr7lt3OU09vwQwhkpOPPYv2Y/edit?usp=sharing"",""งบพรบ!BE55"")"),0)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IFERROR(__xludf.DUMMYFUNCTION("IMPORTRANGE(""https://docs.google.com/spreadsheets/d/1eHaY18a8A9IcSdp1K8H6x8fbOy06t2VsZHhMHf-1x7Y/edit?usp=sharing"",""แผน!N55"")"),0)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IFERROR(__xludf.DUMMYFUNCTION("IMPORTRANGE(""https://docs.google.com/spreadsheets/d/1eHaY18a8A9IcSdp1K8H6x8fbOy06t2VsZHhMHf-1x7Y/edit?usp=sharing"",""แผน!O55"")"),0)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IFERROR(__xludf.DUMMYFUNCTION("IMPORTRANGE(""https://docs.google.com/spreadsheets/d/1eHaY18a8A9IcSdp1K8H6x8fbOy06t2VsZHhMHf-1x7Y/edit?usp=sharing"",""แผน!R55"")"),0)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IFERROR(__xludf.DUMMYFUNCTION("IMPORTRANGE(""https://docs.google.com/spreadsheets/d/1-uDff_7J0KD5mKrp0Vvzr7lt3OU09vwQwhkpOPPYv2Y/edit?usp=sharing"",""งบพรบ!BG55"")"),0)</f>
        <v>0</v>
      </c>
      <c r="M130" s="886">
        <f ca="1">IFERROR(__xludf.DUMMYFUNCTION("IMPORTRANGE(""https://docs.google.com/spreadsheets/d/1-uDff_7J0KD5mKrp0Vvzr7lt3OU09vwQwhkpOPPYv2Y/edit?usp=sharing"",""งบพรบ!BL55"")"),0)</f>
        <v>0</v>
      </c>
      <c r="N130" s="886">
        <f ca="1">IFERROR(__xludf.DUMMYFUNCTION("IMPORTRANGE(""https://docs.google.com/spreadsheets/d/1-uDff_7J0KD5mKrp0Vvzr7lt3OU09vwQwhkpOPPYv2Y/edit?usp=sharing"",""งบพรบ!BN55"")"),0)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IFERROR(__xludf.DUMMYFUNCTION("IMPORTRANGE(""https://docs.google.com/spreadsheets/d/1-uDff_7J0KD5mKrp0Vvzr7lt3OU09vwQwhkpOPPYv2Y/edit?usp=sharing"",""งบพรบ!BJ55"")"),0)</f>
        <v>0</v>
      </c>
      <c r="M133" s="886">
        <f ca="1">IFERROR(__xludf.DUMMYFUNCTION("IMPORTRANGE(""https://docs.google.com/spreadsheets/d/1-uDff_7J0KD5mKrp0Vvzr7lt3OU09vwQwhkpOPPYv2Y/edit?usp=sharing"",""งบพรบ!BM55"")"),0)</f>
        <v>0</v>
      </c>
      <c r="N133" s="886">
        <f ca="1">IFERROR(__xludf.DUMMYFUNCTION("IMPORTRANGE(""https://docs.google.com/spreadsheets/d/1-uDff_7J0KD5mKrp0Vvzr7lt3OU09vwQwhkpOPPYv2Y/edit?usp=sharing"",""งบพรบ!BO55"")"),0)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3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50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5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170500</v>
      </c>
      <c r="M139" s="737">
        <f ca="1">M140+M141</f>
        <v>142900</v>
      </c>
      <c r="N139" s="737">
        <f ca="1">N140+N141</f>
        <v>14876</v>
      </c>
      <c r="O139" s="737">
        <f ca="1">IF(L139&gt;0,N139*100/L139,0)</f>
        <v>8.7249266862170085</v>
      </c>
      <c r="P139" s="737">
        <f ca="1">IF(M139&gt;0,N139*100/M139,0)</f>
        <v>10.410076976906929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170500</v>
      </c>
      <c r="M141" s="427">
        <f ca="1">M144+M147</f>
        <v>142900</v>
      </c>
      <c r="N141" s="427">
        <f ca="1">N144+N147</f>
        <v>14876</v>
      </c>
      <c r="O141" s="427">
        <f ca="1">IF(L141&gt;0,N141*100/L141,0)</f>
        <v>8.7249266862170085</v>
      </c>
      <c r="P141" s="427">
        <f ca="1">IF(M141&gt;0,N141*100/M141,0)</f>
        <v>10.410076976906929</v>
      </c>
    </row>
    <row r="142" spans="1:16" ht="18.75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170500</v>
      </c>
      <c r="M142" s="427">
        <f ca="1">M143+M144</f>
        <v>142900</v>
      </c>
      <c r="N142" s="427">
        <f ca="1">N143+N144</f>
        <v>14876</v>
      </c>
      <c r="O142" s="427">
        <f ca="1">IF(L142&gt;0,N142*100/L142,0)</f>
        <v>8.7249266862170085</v>
      </c>
      <c r="P142" s="427">
        <f ca="1">IF(M142&gt;0,N142*100/M142,0)</f>
        <v>10.410076976906929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IFERROR(__xludf.DUMMYFUNCTION("IMPORTRANGE(""https://docs.google.com/spreadsheets/d/1-uDff_7J0KD5mKrp0Vvzr7lt3OU09vwQwhkpOPPYv2Y/edit?usp=sharing"",""งบพรบ!BQ55"")"),170500)</f>
        <v>170500</v>
      </c>
      <c r="M144" s="427">
        <f ca="1">IFERROR(__xludf.DUMMYFUNCTION("IMPORTRANGE(""https://docs.google.com/spreadsheets/d/1-uDff_7J0KD5mKrp0Vvzr7lt3OU09vwQwhkpOPPYv2Y/edit?usp=sharing"",""งบพรบ!BV55"")"),142900)</f>
        <v>142900</v>
      </c>
      <c r="N144" s="427">
        <f ca="1">IFERROR(__xludf.DUMMYFUNCTION("IMPORTRANGE(""https://docs.google.com/spreadsheets/d/1-uDff_7J0KD5mKrp0Vvzr7lt3OU09vwQwhkpOPPYv2Y/edit?usp=sharing"",""งบพรบ!BX55"")"),14876)</f>
        <v>14876</v>
      </c>
      <c r="O144" s="427">
        <f ca="1">IF(L144&gt;0,N144*100/L144,0)</f>
        <v>8.7249266862170085</v>
      </c>
      <c r="P144" s="427">
        <f ca="1">IF(M144&gt;0,N144*100/M144,0)</f>
        <v>10.410076976906929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IFERROR(__xludf.DUMMYFUNCTION("IMPORTRANGE(""https://docs.google.com/spreadsheets/d/1-uDff_7J0KD5mKrp0Vvzr7lt3OU09vwQwhkpOPPYv2Y/edit?usp=sharing"",""งบพรบ!BT55"")"),0)</f>
        <v>0</v>
      </c>
      <c r="M147" s="427">
        <f ca="1">IFERROR(__xludf.DUMMYFUNCTION("IMPORTRANGE(""https://docs.google.com/spreadsheets/d/1-uDff_7J0KD5mKrp0Vvzr7lt3OU09vwQwhkpOPPYv2Y/edit?usp=sharing"",""งบพรบ!BW55"")"),0)</f>
        <v>0</v>
      </c>
      <c r="N147" s="427">
        <f ca="1">IFERROR(__xludf.DUMMYFUNCTION("IMPORTRANGE(""https://docs.google.com/spreadsheets/d/1-uDff_7J0KD5mKrp0Vvzr7lt3OU09vwQwhkpOPPYv2Y/edit?usp=sharing"",""งบพรบ!BY55"")"),0)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IFERROR(__xludf.DUMMYFUNCTION("IMPORTRANGE(""https://docs.google.com/spreadsheets/d/1eHaY18a8A9IcSdp1K8H6x8fbOy06t2VsZHhMHf-1x7Y/edit?usp=sharing"",""แผน!U55"")"),30)</f>
        <v>30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IFERROR(__xludf.DUMMYFUNCTION("IMPORTRANGE(""https://docs.google.com/spreadsheets/d/1eHaY18a8A9IcSdp1K8H6x8fbOy06t2VsZHhMHf-1x7Y/edit?usp=sharing"",""แผน!V55"")"),3)</f>
        <v>3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IFERROR(__xludf.DUMMYFUNCTION("IMPORTRANGE(""https://docs.google.com/spreadsheets/d/1eHaY18a8A9IcSdp1K8H6x8fbOy06t2VsZHhMHf-1x7Y/edit?usp=sharing"",""แผน!W55"")"),50)</f>
        <v>50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IFERROR(__xludf.DUMMYFUNCTION("IMPORTRANGE(""https://docs.google.com/spreadsheets/d/1eHaY18a8A9IcSdp1K8H6x8fbOy06t2VsZHhMHf-1x7Y/edit?usp=sharing"",""แผน!X55"")"),5)</f>
        <v>5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IFERROR(__xludf.DUMMYFUNCTION("IMPORTRANGE(""https://docs.google.com/spreadsheets/d/1eHaY18a8A9IcSdp1K8H6x8fbOy06t2VsZHhMHf-1x7Y/edit?usp=sharing"",""แผน!Y55"")"),3)</f>
        <v>3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IFERROR(__xludf.DUMMYFUNCTION("IMPORTRANGE(""https://docs.google.com/spreadsheets/d/1-uDff_7J0KD5mKrp0Vvzr7lt3OU09vwQwhkpOPPYv2Y/edit?usp=sharing"",""งบพรบ!CA55"")"),3000)</f>
        <v>3000</v>
      </c>
      <c r="M162" s="427">
        <f ca="1">IFERROR(__xludf.DUMMYFUNCTION("IMPORTRANGE(""https://docs.google.com/spreadsheets/d/1-uDff_7J0KD5mKrp0Vvzr7lt3OU09vwQwhkpOPPYv2Y/edit?usp=sharing"",""งบพรบ!CF55"")"),0)</f>
        <v>0</v>
      </c>
      <c r="N162" s="427">
        <f ca="1">IFERROR(__xludf.DUMMYFUNCTION("IMPORTRANGE(""https://docs.google.com/spreadsheets/d/1-uDff_7J0KD5mKrp0Vvzr7lt3OU09vwQwhkpOPPYv2Y/edit?usp=sharing"",""งบพรบ!CH55"")"),0)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IFERROR(__xludf.DUMMYFUNCTION("IMPORTRANGE(""https://docs.google.com/spreadsheets/d/1-uDff_7J0KD5mKrp0Vvzr7lt3OU09vwQwhkpOPPYv2Y/edit?usp=sharing"",""งบพรบ!CD55"")"),0)</f>
        <v>0</v>
      </c>
      <c r="M165" s="427">
        <f ca="1">IFERROR(__xludf.DUMMYFUNCTION("IMPORTRANGE(""https://docs.google.com/spreadsheets/d/1-uDff_7J0KD5mKrp0Vvzr7lt3OU09vwQwhkpOPPYv2Y/edit?usp=sharing"",""งบพรบ!CG55"")"),0)</f>
        <v>0</v>
      </c>
      <c r="N165" s="427">
        <f ca="1">IFERROR(__xludf.DUMMYFUNCTION("IMPORTRANGE(""https://docs.google.com/spreadsheets/d/1-uDff_7J0KD5mKrp0Vvzr7lt3OU09vwQwhkpOPPYv2Y/edit?usp=sharing"",""งบพรบ!CI55"")"),0)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IFERROR(__xludf.DUMMYFUNCTION("IMPORTRANGE(""https://docs.google.com/spreadsheets/d/1eHaY18a8A9IcSdp1K8H6x8fbOy06t2VsZHhMHf-1x7Y/edit?usp=sharing"",""แผน!Z55"")"),10)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7</v>
      </c>
      <c r="K172" s="850">
        <f ca="1">IF(I172&gt;0,J172*100/I172,0)</f>
        <v>100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19590</v>
      </c>
      <c r="O173" s="737">
        <f ca="1">IF(L173&gt;0,N173*100/L173,0)</f>
        <v>100</v>
      </c>
      <c r="P173" s="737">
        <f ca="1">IF(M173&gt;0,N173*100/M173,0)</f>
        <v>100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19590</v>
      </c>
      <c r="O175" s="427">
        <f ca="1">IF(L175&gt;0,N175*100/L175,0)</f>
        <v>100</v>
      </c>
      <c r="P175" s="427">
        <f ca="1">IF(M175&gt;0,N175*100/M175,0)</f>
        <v>100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19590</v>
      </c>
      <c r="O176" s="427">
        <f ca="1">IF(L176&gt;0,N176*100/L176,0)</f>
        <v>100</v>
      </c>
      <c r="P176" s="427">
        <f ca="1">IF(M176&gt;0,N176*100/M176,0)</f>
        <v>100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IFERROR(__xludf.DUMMYFUNCTION("IMPORTRANGE(""https://docs.google.com/spreadsheets/d/1-uDff_7J0KD5mKrp0Vvzr7lt3OU09vwQwhkpOPPYv2Y/edit?usp=sharing"",""งบพรบ!CK55"")"),19590)</f>
        <v>19590</v>
      </c>
      <c r="M178" s="427">
        <f ca="1">IFERROR(__xludf.DUMMYFUNCTION("IMPORTRANGE(""https://docs.google.com/spreadsheets/d/1-uDff_7J0KD5mKrp0Vvzr7lt3OU09vwQwhkpOPPYv2Y/edit?usp=sharing"",""งบพรบ!CP55"")"),19590)</f>
        <v>19590</v>
      </c>
      <c r="N178" s="427">
        <f ca="1">IFERROR(__xludf.DUMMYFUNCTION("IMPORTRANGE(""https://docs.google.com/spreadsheets/d/1-uDff_7J0KD5mKrp0Vvzr7lt3OU09vwQwhkpOPPYv2Y/edit?usp=sharing"",""งบพรบ!CR55"")"),19590)</f>
        <v>19590</v>
      </c>
      <c r="O178" s="427">
        <f ca="1">IF(L178&gt;0,N178*100/L178,0)</f>
        <v>100</v>
      </c>
      <c r="P178" s="427">
        <f ca="1">IF(M178&gt;0,N178*100/M178,0)</f>
        <v>100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IFERROR(__xludf.DUMMYFUNCTION("IMPORTRANGE(""https://docs.google.com/spreadsheets/d/1-uDff_7J0KD5mKrp0Vvzr7lt3OU09vwQwhkpOPPYv2Y/edit?usp=sharing"",""งบพรบ!CN55"")"),0)</f>
        <v>0</v>
      </c>
      <c r="M181" s="427">
        <f ca="1">IFERROR(__xludf.DUMMYFUNCTION("IMPORTRANGE(""https://docs.google.com/spreadsheets/d/1-uDff_7J0KD5mKrp0Vvzr7lt3OU09vwQwhkpOPPYv2Y/edit?usp=sharing"",""งบพรบ!CQ55"")"),0)</f>
        <v>0</v>
      </c>
      <c r="N181" s="427">
        <f ca="1">IFERROR(__xludf.DUMMYFUNCTION("IMPORTRANGE(""https://docs.google.com/spreadsheets/d/1-uDff_7J0KD5mKrp0Vvzr7lt3OU09vwQwhkpOPPYv2Y/edit?usp=sharing"",""งบพรบ!CS55"")"),0)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IFERROR(__xludf.DUMMYFUNCTION("IMPORTRANGE(""https://docs.google.com/spreadsheets/d/1eHaY18a8A9IcSdp1K8H6x8fbOy06t2VsZHhMHf-1x7Y/edit?usp=sharing"",""แผน!AA55"")"),7)</f>
        <v>7</v>
      </c>
      <c r="J183" s="758">
        <v>7</v>
      </c>
      <c r="K183" s="427">
        <f ca="1">IF(I183&gt;0,J183*100/I183,0)</f>
        <v>100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40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298000</v>
      </c>
      <c r="M186" s="737">
        <f ca="1">M187+M188</f>
        <v>236000</v>
      </c>
      <c r="N186" s="737">
        <f ca="1">N187+N188</f>
        <v>12590</v>
      </c>
      <c r="O186" s="737">
        <f ca="1">IF(L186&gt;0,N186*100/L186,0)</f>
        <v>4.224832214765101</v>
      </c>
      <c r="P186" s="737">
        <f ca="1">IF(M186&gt;0,N186*100/M186,0)</f>
        <v>5.3347457627118642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298000</v>
      </c>
      <c r="M188" s="427">
        <f ca="1">M191+M194</f>
        <v>236000</v>
      </c>
      <c r="N188" s="427">
        <f ca="1">N191+N194</f>
        <v>12590</v>
      </c>
      <c r="O188" s="427">
        <f ca="1">IF(L188&gt;0,N188*100/L188,0)</f>
        <v>4.224832214765101</v>
      </c>
      <c r="P188" s="427">
        <f ca="1">IF(M188&gt;0,N188*100/M188,0)</f>
        <v>5.3347457627118642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298000</v>
      </c>
      <c r="M189" s="427">
        <f ca="1">M190+M191</f>
        <v>236000</v>
      </c>
      <c r="N189" s="427">
        <f ca="1">N190+N191</f>
        <v>12590</v>
      </c>
      <c r="O189" s="427">
        <f ca="1">IF(L189&gt;0,N189*100/L189,0)</f>
        <v>4.224832214765101</v>
      </c>
      <c r="P189" s="427">
        <f ca="1">IF(M189&gt;0,N189*100/M189,0)</f>
        <v>5.3347457627118642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IFERROR(__xludf.DUMMYFUNCTION("IMPORTRANGE(""https://docs.google.com/spreadsheets/d/1-uDff_7J0KD5mKrp0Vvzr7lt3OU09vwQwhkpOPPYv2Y/edit?usp=sharing"",""งบพรบ!CU55"")"),298000)</f>
        <v>298000</v>
      </c>
      <c r="M191" s="427">
        <f ca="1">IFERROR(__xludf.DUMMYFUNCTION("IMPORTRANGE(""https://docs.google.com/spreadsheets/d/1-uDff_7J0KD5mKrp0Vvzr7lt3OU09vwQwhkpOPPYv2Y/edit?usp=sharing"",""งบพรบ!CZ55"")"),236000)</f>
        <v>236000</v>
      </c>
      <c r="N191" s="427">
        <f ca="1">IFERROR(__xludf.DUMMYFUNCTION("IMPORTRANGE(""https://docs.google.com/spreadsheets/d/1-uDff_7J0KD5mKrp0Vvzr7lt3OU09vwQwhkpOPPYv2Y/edit?usp=sharing"",""งบพรบ!DB55"")"),12590)</f>
        <v>12590</v>
      </c>
      <c r="O191" s="427">
        <f ca="1">IF(L191&gt;0,N191*100/L191,0)</f>
        <v>4.224832214765101</v>
      </c>
      <c r="P191" s="427">
        <f ca="1">IF(M191&gt;0,N191*100/M191,0)</f>
        <v>5.3347457627118642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IFERROR(__xludf.DUMMYFUNCTION("IMPORTRANGE(""https://docs.google.com/spreadsheets/d/1-uDff_7J0KD5mKrp0Vvzr7lt3OU09vwQwhkpOPPYv2Y/edit?usp=sharing"",""งบพรบ!CX55"")"),0)</f>
        <v>0</v>
      </c>
      <c r="M194" s="427">
        <f ca="1">IFERROR(__xludf.DUMMYFUNCTION("IMPORTRANGE(""https://docs.google.com/spreadsheets/d/1-uDff_7J0KD5mKrp0Vvzr7lt3OU09vwQwhkpOPPYv2Y/edit?usp=sharing"",""งบพรบ!DA55"")"),0)</f>
        <v>0</v>
      </c>
      <c r="N194" s="427">
        <f ca="1">IFERROR(__xludf.DUMMYFUNCTION("IMPORTRANGE(""https://docs.google.com/spreadsheets/d/1-uDff_7J0KD5mKrp0Vvzr7lt3OU09vwQwhkpOPPYv2Y/edit?usp=sharing"",""งบพรบ!DC55"")"),0)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IFERROR(__xludf.DUMMYFUNCTION("IMPORTRANGE(""https://docs.google.com/spreadsheets/d/1eHaY18a8A9IcSdp1K8H6x8fbOy06t2VsZHhMHf-1x7Y/edit?usp=sharing"",""แผน!AB55"")"),6000)</f>
        <v>6000</v>
      </c>
      <c r="M196" s="430"/>
      <c r="N196" s="849">
        <v>840</v>
      </c>
      <c r="O196" s="737">
        <f ca="1">IF(L196&gt;0,N196*100/L196,0)</f>
        <v>14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IFERROR(__xludf.DUMMYFUNCTION("IMPORTRANGE(""https://docs.google.com/spreadsheets/d/1eHaY18a8A9IcSdp1K8H6x8fbOy06t2VsZHhMHf-1x7Y/edit?usp=sharing"",""แผน!AE55"")"),4)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31000</v>
      </c>
      <c r="M203" s="430"/>
      <c r="N203" s="737">
        <f>N204+N205+N206+N207</f>
        <v>720</v>
      </c>
      <c r="O203" s="737">
        <f ca="1">IF(L203&gt;0,N203*100/L203,0)</f>
        <v>2.3225806451612905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IFERROR(__xludf.DUMMYFUNCTION("IMPORTRANGE(""https://docs.google.com/spreadsheets/d/1eHaY18a8A9IcSdp1K8H6x8fbOy06t2VsZHhMHf-1x7Y/edit?usp=sharing"",""แผน!AG55"")"),2000)</f>
        <v>2000</v>
      </c>
      <c r="M204" s="430"/>
      <c r="N204" s="840">
        <v>720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IFERROR(__xludf.DUMMYFUNCTION("IMPORTRANGE(""https://docs.google.com/spreadsheets/d/1eHaY18a8A9IcSdp1K8H6x8fbOy06t2VsZHhMHf-1x7Y/edit?usp=sharing"",""แผน!AH55"")"),0)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IFERROR(__xludf.DUMMYFUNCTION("IMPORTRANGE(""https://docs.google.com/spreadsheets/d/1eHaY18a8A9IcSdp1K8H6x8fbOy06t2VsZHhMHf-1x7Y/edit?usp=sharing"",""แผน!AI55"")"),16000)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IFERROR(__xludf.DUMMYFUNCTION("IMPORTRANGE(""https://docs.google.com/spreadsheets/d/1eHaY18a8A9IcSdp1K8H6x8fbOy06t2VsZHhMHf-1x7Y/edit?usp=sharing"",""แผน!AJ55"")"),13000)</f>
        <v>13000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IFERROR(__xludf.DUMMYFUNCTION("IMPORTRANGE(""https://docs.google.com/spreadsheets/d/1eHaY18a8A9IcSdp1K8H6x8fbOy06t2VsZHhMHf-1x7Y/edit?usp=sharing"",""แผน!AK55"")"),2)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IFERROR(__xludf.DUMMYFUNCTION("IMPORTRANGE(""https://docs.google.com/spreadsheets/d/1eHaY18a8A9IcSdp1K8H6x8fbOy06t2VsZHhMHf-1x7Y/edit?usp=sharing"",""แผน!JX55"")"),2)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IFERROR(__xludf.DUMMYFUNCTION("IMPORTRANGE(""https://docs.google.com/spreadsheets/d/1eHaY18a8A9IcSdp1K8H6x8fbOy06t2VsZHhMHf-1x7Y/edit?usp=sharing"",""แผน!JY55"")"),1)</f>
        <v>1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3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42000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IFERROR(__xludf.DUMMYFUNCTION("IMPORTRANGE(""https://docs.google.com/spreadsheets/d/1eHaY18a8A9IcSdp1K8H6x8fbOy06t2VsZHhMHf-1x7Y/edit?usp=sharing"",""แผน!AM55"")"),3000)</f>
        <v>3000</v>
      </c>
      <c r="M215" s="430"/>
      <c r="N215" s="840">
        <v>0</v>
      </c>
      <c r="O215" s="700"/>
      <c r="P215" s="430"/>
    </row>
    <row r="216" spans="1:16" ht="18.75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IFERROR(__xludf.DUMMYFUNCTION("IMPORTRANGE(""https://docs.google.com/spreadsheets/d/1eHaY18a8A9IcSdp1K8H6x8fbOy06t2VsZHhMHf-1x7Y/edit?usp=sharing"",""แผน!AN55"")"),15000)</f>
        <v>15000</v>
      </c>
      <c r="M216" s="430"/>
      <c r="N216" s="840">
        <v>0</v>
      </c>
      <c r="O216" s="700"/>
      <c r="P216" s="430"/>
    </row>
    <row r="217" spans="1:16" ht="18.75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IFERROR(__xludf.DUMMYFUNCTION("IMPORTRANGE(""https://docs.google.com/spreadsheets/d/1eHaY18a8A9IcSdp1K8H6x8fbOy06t2VsZHhMHf-1x7Y/edit?usp=sharing"",""แผน!AO55"")"),24000)</f>
        <v>24000</v>
      </c>
      <c r="M217" s="430"/>
      <c r="N217" s="840">
        <v>0</v>
      </c>
      <c r="O217" s="700"/>
      <c r="P217" s="430"/>
    </row>
    <row r="218" spans="1:16" ht="19.5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IFERROR(__xludf.DUMMYFUNCTION("IMPORTRANGE(""https://docs.google.com/spreadsheets/d/1eHaY18a8A9IcSdp1K8H6x8fbOy06t2VsZHhMHf-1x7Y/edit?usp=sharing"",""แผน!AP55"")"),3)</f>
        <v>3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IFERROR(__xludf.DUMMYFUNCTION("IMPORTRANGE(""https://docs.google.com/spreadsheets/d/1eHaY18a8A9IcSdp1K8H6x8fbOy06t2VsZHhMHf-1x7Y/edit?usp=sharing"",""แผน!AP55"")"),3)</f>
        <v>3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40000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6500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IFERROR(__xludf.DUMMYFUNCTION("IMPORTRANGE(""https://docs.google.com/spreadsheets/d/1eHaY18a8A9IcSdp1K8H6x8fbOy06t2VsZHhMHf-1x7Y/edit?usp=sharing"",""แผน!AR55"")"),5000)</f>
        <v>5000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IFERROR(__xludf.DUMMYFUNCTION("IMPORTRANGE(""https://docs.google.com/spreadsheets/d/1eHaY18a8A9IcSdp1K8H6x8fbOy06t2VsZHhMHf-1x7Y/edit?usp=sharing"",""แผน!AS55"")"),1500)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IFERROR(__xludf.DUMMYFUNCTION("IMPORTRANGE(""https://docs.google.com/spreadsheets/d/1eHaY18a8A9IcSdp1K8H6x8fbOy06t2VsZHhMHf-1x7Y/edit?usp=sharing"",""แผน!AT55"")"),0)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IFERROR(__xludf.DUMMYFUNCTION("IMPORTRANGE(""https://docs.google.com/spreadsheets/d/1eHaY18a8A9IcSdp1K8H6x8fbOy06t2VsZHhMHf-1x7Y/edit?usp=sharing"",""แผน!AV55"")"),40000)</f>
        <v>40000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IFERROR(__xludf.DUMMYFUNCTION("IMPORTRANGE(""https://docs.google.com/spreadsheets/d/1eHaY18a8A9IcSdp1K8H6x8fbOy06t2VsZHhMHf-1x7Y/edit?usp=sharing"",""แผน!AV55"")"),40000)</f>
        <v>40000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IFERROR(__xludf.DUMMYFUNCTION("IMPORTRANGE(""https://docs.google.com/spreadsheets/d/1eHaY18a8A9IcSdp1K8H6x8fbOy06t2VsZHhMHf-1x7Y/edit?usp=sharing"",""แผน!AU55"")"),0)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40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121500</v>
      </c>
      <c r="M232" s="521"/>
      <c r="N232" s="545">
        <f>N243+N254</f>
        <v>2710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16000</v>
      </c>
      <c r="M233" s="521"/>
      <c r="N233" s="522">
        <f>N244+N255</f>
        <v>2710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6000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55500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44000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40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40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2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165</v>
      </c>
      <c r="D242" s="284"/>
      <c r="E242" s="284"/>
      <c r="F242" s="284"/>
      <c r="G242" s="285"/>
      <c r="H242" s="286" t="s">
        <v>33</v>
      </c>
      <c r="I242" s="287">
        <f ca="1">I249</f>
        <v>20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53800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IFERROR(__xludf.DUMMYFUNCTION("IMPORTRANGE(""https://docs.google.com/spreadsheets/d/1eHaY18a8A9IcSdp1K8H6x8fbOy06t2VsZHhMHf-1x7Y/edit?usp=sharing"",""แผน!AX55"")"),8000)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IFERROR(__xludf.DUMMYFUNCTION("IMPORTRANGE(""https://docs.google.com/spreadsheets/d/1eHaY18a8A9IcSdp1K8H6x8fbOy06t2VsZHhMHf-1x7Y/edit?usp=sharing"",""แผน!AY55"")"),3000)</f>
        <v>3000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IFERROR(__xludf.DUMMYFUNCTION("IMPORTRANGE(""https://docs.google.com/spreadsheets/d/1eHaY18a8A9IcSdp1K8H6x8fbOy06t2VsZHhMHf-1x7Y/edit?usp=sharing"",""แผน!AZ55"")"),23800)</f>
        <v>23800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IFERROR(__xludf.DUMMYFUNCTION("IMPORTRANGE(""https://docs.google.com/spreadsheets/d/1eHaY18a8A9IcSdp1K8H6x8fbOy06t2VsZHhMHf-1x7Y/edit?usp=sharing"",""แผน!BA55"")"),19000)</f>
        <v>19000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IFERROR(__xludf.DUMMYFUNCTION("IMPORTRANGE(""https://docs.google.com/spreadsheets/d/1eHaY18a8A9IcSdp1K8H6x8fbOy06t2VsZHhMHf-1x7Y/edit?usp=sharing"",""แผน!BG55"")"),20)</f>
        <v>20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IFERROR(__xludf.DUMMYFUNCTION("IMPORTRANGE(""https://docs.google.com/spreadsheets/d/1eHaY18a8A9IcSdp1K8H6x8fbOy06t2VsZHhMHf-1x7Y/edit?usp=sharing"",""แผน!KB55"")"),20)</f>
        <v>20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IFERROR(__xludf.DUMMYFUNCTION("IMPORTRANGE(""https://docs.google.com/spreadsheets/d/1eHaY18a8A9IcSdp1K8H6x8fbOy06t2VsZHhMHf-1x7Y/edit?usp=sharing"",""แผน!KC55"")"),1)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x14ac:dyDescent="0.3">
      <c r="A253" s="281"/>
      <c r="B253" s="282"/>
      <c r="C253" s="838" t="s">
        <v>164</v>
      </c>
      <c r="D253" s="284"/>
      <c r="E253" s="284"/>
      <c r="F253" s="284"/>
      <c r="G253" s="285"/>
      <c r="H253" s="286" t="s">
        <v>33</v>
      </c>
      <c r="I253" s="287">
        <f ca="1">I260</f>
        <v>20</v>
      </c>
      <c r="J253" s="287">
        <f>J260</f>
        <v>0</v>
      </c>
      <c r="K253" s="288">
        <f ca="1">IF(I253&gt;0,J253*100/I253,0)</f>
        <v>0</v>
      </c>
      <c r="L253" s="289"/>
      <c r="M253" s="289"/>
      <c r="N253" s="289"/>
      <c r="O253" s="289"/>
      <c r="P253" s="289"/>
    </row>
    <row r="254" spans="1:16" ht="19.5" x14ac:dyDescent="0.3">
      <c r="A254" s="157"/>
      <c r="B254" s="280"/>
      <c r="C254" s="298" t="s">
        <v>16</v>
      </c>
      <c r="D254" s="621" t="s">
        <v>17</v>
      </c>
      <c r="E254" s="53"/>
      <c r="F254" s="53"/>
      <c r="G254" s="55"/>
      <c r="H254" s="291" t="s">
        <v>12</v>
      </c>
      <c r="I254" s="164"/>
      <c r="J254" s="164"/>
      <c r="K254" s="165"/>
      <c r="L254" s="161">
        <f ca="1">L255+L256+L257+L258</f>
        <v>67700</v>
      </c>
      <c r="M254" s="58"/>
      <c r="N254" s="161">
        <f>N255+N256+N257+N258</f>
        <v>2710</v>
      </c>
      <c r="O254" s="161">
        <f ca="1">IF(L254&gt;0,N254*100/L254,0)</f>
        <v>4.0029542097488919</v>
      </c>
      <c r="P254" s="161">
        <f>IF(M254&gt;0,N254*100/M254,0)</f>
        <v>0</v>
      </c>
    </row>
    <row r="255" spans="1:16" ht="18.75" x14ac:dyDescent="0.25">
      <c r="A255" s="157"/>
      <c r="B255" s="280"/>
      <c r="C255" s="280"/>
      <c r="D255" s="836" t="s">
        <v>152</v>
      </c>
      <c r="E255" s="53"/>
      <c r="F255" s="53"/>
      <c r="G255" s="55"/>
      <c r="H255" s="163" t="s">
        <v>12</v>
      </c>
      <c r="I255" s="164"/>
      <c r="J255" s="164"/>
      <c r="K255" s="165"/>
      <c r="L255" s="61">
        <f ca="1">IFERROR(__xludf.DUMMYFUNCTION("IMPORTRANGE(""https://docs.google.com/spreadsheets/d/1eHaY18a8A9IcSdp1K8H6x8fbOy06t2VsZHhMHf-1x7Y/edit?usp=sharing"",""แผน!BB55"")"),8000)</f>
        <v>8000</v>
      </c>
      <c r="M255" s="58"/>
      <c r="N255" s="620">
        <v>2710</v>
      </c>
      <c r="O255" s="58"/>
      <c r="P255" s="58"/>
    </row>
    <row r="256" spans="1:16" ht="18.75" x14ac:dyDescent="0.25">
      <c r="A256" s="276"/>
      <c r="B256" s="280"/>
      <c r="C256" s="280"/>
      <c r="D256" s="751" t="s">
        <v>81</v>
      </c>
      <c r="E256" s="53"/>
      <c r="F256" s="53"/>
      <c r="G256" s="55"/>
      <c r="H256" s="163" t="s">
        <v>12</v>
      </c>
      <c r="I256" s="57"/>
      <c r="J256" s="57"/>
      <c r="K256" s="58"/>
      <c r="L256" s="61">
        <f ca="1">IFERROR(__xludf.DUMMYFUNCTION("IMPORTRANGE(""https://docs.google.com/spreadsheets/d/1eHaY18a8A9IcSdp1K8H6x8fbOy06t2VsZHhMHf-1x7Y/edit?usp=sharing"",""แผน!BC55"")"),3000)</f>
        <v>3000</v>
      </c>
      <c r="M256" s="58"/>
      <c r="N256" s="620">
        <v>0</v>
      </c>
      <c r="O256" s="58"/>
      <c r="P256" s="58"/>
    </row>
    <row r="257" spans="1:16" ht="18.75" x14ac:dyDescent="0.25">
      <c r="A257" s="276"/>
      <c r="B257" s="280"/>
      <c r="C257" s="280"/>
      <c r="D257" s="751" t="s">
        <v>82</v>
      </c>
      <c r="E257" s="53"/>
      <c r="F257" s="53"/>
      <c r="G257" s="55"/>
      <c r="H257" s="163" t="s">
        <v>12</v>
      </c>
      <c r="I257" s="57"/>
      <c r="J257" s="57"/>
      <c r="K257" s="58"/>
      <c r="L257" s="61">
        <f ca="1">IFERROR(__xludf.DUMMYFUNCTION("IMPORTRANGE(""https://docs.google.com/spreadsheets/d/1eHaY18a8A9IcSdp1K8H6x8fbOy06t2VsZHhMHf-1x7Y/edit?usp=sharing"",""แผน!BD55"")"),31700)</f>
        <v>31700</v>
      </c>
      <c r="M257" s="58"/>
      <c r="N257" s="620">
        <v>0</v>
      </c>
      <c r="O257" s="58"/>
      <c r="P257" s="58"/>
    </row>
    <row r="258" spans="1:16" ht="18.75" x14ac:dyDescent="0.25">
      <c r="A258" s="276"/>
      <c r="B258" s="280"/>
      <c r="C258" s="280"/>
      <c r="D258" s="295" t="s">
        <v>83</v>
      </c>
      <c r="E258" s="53"/>
      <c r="F258" s="53"/>
      <c r="G258" s="55"/>
      <c r="H258" s="163" t="s">
        <v>12</v>
      </c>
      <c r="I258" s="57"/>
      <c r="J258" s="57"/>
      <c r="K258" s="58"/>
      <c r="L258" s="61">
        <f ca="1">IFERROR(__xludf.DUMMYFUNCTION("IMPORTRANGE(""https://docs.google.com/spreadsheets/d/1eHaY18a8A9IcSdp1K8H6x8fbOy06t2VsZHhMHf-1x7Y/edit?usp=sharing"",""แผน!BE55"")"),25000)</f>
        <v>25000</v>
      </c>
      <c r="M258" s="58"/>
      <c r="N258" s="620">
        <v>0</v>
      </c>
      <c r="O258" s="58"/>
      <c r="P258" s="58"/>
    </row>
    <row r="259" spans="1:16" ht="19.5" x14ac:dyDescent="0.3">
      <c r="A259" s="167"/>
      <c r="B259" s="168"/>
      <c r="C259" s="298" t="s">
        <v>16</v>
      </c>
      <c r="D259" s="571" t="s">
        <v>36</v>
      </c>
      <c r="E259" s="170"/>
      <c r="F259" s="170"/>
      <c r="G259" s="171"/>
      <c r="H259" s="172"/>
      <c r="I259" s="164"/>
      <c r="J259" s="57"/>
      <c r="K259" s="58"/>
      <c r="L259" s="58"/>
      <c r="M259" s="58"/>
      <c r="N259" s="58"/>
      <c r="O259" s="165"/>
      <c r="P259" s="165"/>
    </row>
    <row r="260" spans="1:16" ht="18.75" x14ac:dyDescent="0.25">
      <c r="A260" s="167"/>
      <c r="B260" s="168"/>
      <c r="C260" s="168"/>
      <c r="D260" s="195" t="s">
        <v>102</v>
      </c>
      <c r="E260" s="174"/>
      <c r="F260" s="174"/>
      <c r="G260" s="172"/>
      <c r="H260" s="166" t="s">
        <v>33</v>
      </c>
      <c r="I260" s="196">
        <f ca="1">IFERROR(__xludf.DUMMYFUNCTION("IMPORTRANGE(""https://docs.google.com/spreadsheets/d/1eHaY18a8A9IcSdp1K8H6x8fbOy06t2VsZHhMHf-1x7Y/edit?usp=sharing"",""แผน!BH55"")"),20)</f>
        <v>20</v>
      </c>
      <c r="J260" s="578">
        <v>0</v>
      </c>
      <c r="K260" s="61">
        <f ca="1">IF(I260&gt;0,J260*100/I260,0)</f>
        <v>0</v>
      </c>
      <c r="L260" s="58"/>
      <c r="M260" s="58"/>
      <c r="N260" s="58"/>
      <c r="O260" s="58"/>
      <c r="P260" s="58"/>
    </row>
    <row r="261" spans="1:16" ht="18.75" x14ac:dyDescent="0.25">
      <c r="A261" s="167"/>
      <c r="B261" s="168"/>
      <c r="C261" s="168"/>
      <c r="D261" s="308" t="s">
        <v>41</v>
      </c>
      <c r="E261" s="174"/>
      <c r="F261" s="174"/>
      <c r="G261" s="172"/>
      <c r="H261" s="227"/>
      <c r="I261" s="57"/>
      <c r="J261" s="57"/>
      <c r="K261" s="58"/>
      <c r="L261" s="58"/>
      <c r="M261" s="58"/>
      <c r="N261" s="58"/>
      <c r="O261" s="165"/>
      <c r="P261" s="165"/>
    </row>
    <row r="262" spans="1:16" ht="18.75" x14ac:dyDescent="0.25">
      <c r="A262" s="167"/>
      <c r="B262" s="168"/>
      <c r="C262" s="168"/>
      <c r="D262" s="168"/>
      <c r="E262" s="449" t="s">
        <v>103</v>
      </c>
      <c r="F262" s="174"/>
      <c r="G262" s="172"/>
      <c r="H262" s="166" t="s">
        <v>33</v>
      </c>
      <c r="I262" s="196">
        <f ca="1">IFERROR(__xludf.DUMMYFUNCTION("IMPORTRANGE(""https://docs.google.com/spreadsheets/d/1eHaY18a8A9IcSdp1K8H6x8fbOy06t2VsZHhMHf-1x7Y/edit?usp=sharing"",""แผน!KD55"")"),20)</f>
        <v>20</v>
      </c>
      <c r="J262" s="578">
        <v>0</v>
      </c>
      <c r="K262" s="61">
        <f ca="1">IF(I262&gt;0,J262*100/I262,0)</f>
        <v>0</v>
      </c>
      <c r="L262" s="58"/>
      <c r="M262" s="58"/>
      <c r="N262" s="58"/>
      <c r="O262" s="58"/>
      <c r="P262" s="58"/>
    </row>
    <row r="263" spans="1:16" ht="18.75" x14ac:dyDescent="0.25">
      <c r="A263" s="167"/>
      <c r="B263" s="168"/>
      <c r="C263" s="168"/>
      <c r="D263" s="168"/>
      <c r="E263" s="449" t="s">
        <v>104</v>
      </c>
      <c r="F263" s="174"/>
      <c r="G263" s="172"/>
      <c r="H263" s="166" t="s">
        <v>54</v>
      </c>
      <c r="I263" s="196">
        <f ca="1">IFERROR(__xludf.DUMMYFUNCTION("IMPORTRANGE(""https://docs.google.com/spreadsheets/d/1eHaY18a8A9IcSdp1K8H6x8fbOy06t2VsZHhMHf-1x7Y/edit?usp=sharing"",""แผน!KE55"")"),1)</f>
        <v>1</v>
      </c>
      <c r="J263" s="578">
        <v>0</v>
      </c>
      <c r="K263" s="61">
        <f ca="1">IF(I263&gt;0,J263*100/I263,0)</f>
        <v>0</v>
      </c>
      <c r="L263" s="58"/>
      <c r="M263" s="58"/>
      <c r="N263" s="58"/>
      <c r="O263" s="58"/>
      <c r="P263" s="58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IFERROR(__xludf.DUMMYFUNCTION("IMPORTRANGE(""https://docs.google.com/spreadsheets/d/1-uDff_7J0KD5mKrp0Vvzr7lt3OU09vwQwhkpOPPYv2Y/edit?usp=sharing"",""งบพรบ!DE55"")"),0)</f>
        <v>0</v>
      </c>
      <c r="M271" s="522">
        <f ca="1">IFERROR(__xludf.DUMMYFUNCTION("IMPORTRANGE(""https://docs.google.com/spreadsheets/d/1-uDff_7J0KD5mKrp0Vvzr7lt3OU09vwQwhkpOPPYv2Y/edit?usp=sharing"",""งบพรบ!DJ55"")"),0)</f>
        <v>0</v>
      </c>
      <c r="N271" s="522">
        <f ca="1">IFERROR(__xludf.DUMMYFUNCTION("IMPORTRANGE(""https://docs.google.com/spreadsheets/d/1-uDff_7J0KD5mKrp0Vvzr7lt3OU09vwQwhkpOPPYv2Y/edit?usp=sharing"",""งบพรบ!DL55"")"),0)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IFERROR(__xludf.DUMMYFUNCTION("IMPORTRANGE(""https://docs.google.com/spreadsheets/d/1-uDff_7J0KD5mKrp0Vvzr7lt3OU09vwQwhkpOPPYv2Y/edit?usp=sharing"",""งบพรบ!DH55"")"),0)</f>
        <v>0</v>
      </c>
      <c r="M274" s="522">
        <f ca="1">IFERROR(__xludf.DUMMYFUNCTION("IMPORTRANGE(""https://docs.google.com/spreadsheets/d/1-uDff_7J0KD5mKrp0Vvzr7lt3OU09vwQwhkpOPPYv2Y/edit?usp=sharing"",""งบพรบ!DK55"")"),0)</f>
        <v>0</v>
      </c>
      <c r="N274" s="522">
        <f ca="1">IFERROR(__xludf.DUMMYFUNCTION("IMPORTRANGE(""https://docs.google.com/spreadsheets/d/1-uDff_7J0KD5mKrp0Vvzr7lt3OU09vwQwhkpOPPYv2Y/edit?usp=sharing"",""งบพรบ!DM55"")"),0)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IFERROR(__xludf.DUMMYFUNCTION("IMPORTRANGE(""https://docs.google.com/spreadsheets/d/1-uDff_7J0KD5mKrp0Vvzr7lt3OU09vwQwhkpOPPYv2Y/edit?usp=sharing"",""งบพรบ!DO55"")"),0)</f>
        <v>0</v>
      </c>
      <c r="M287" s="427">
        <f ca="1">IFERROR(__xludf.DUMMYFUNCTION("IMPORTRANGE(""https://docs.google.com/spreadsheets/d/1-uDff_7J0KD5mKrp0Vvzr7lt3OU09vwQwhkpOPPYv2Y/edit?usp=sharing"",""งบพรบ!DT55"")"),0)</f>
        <v>0</v>
      </c>
      <c r="N287" s="427">
        <f ca="1">IFERROR(__xludf.DUMMYFUNCTION("IMPORTRANGE(""https://docs.google.com/spreadsheets/d/1-uDff_7J0KD5mKrp0Vvzr7lt3OU09vwQwhkpOPPYv2Y/edit?usp=sharing"",""งบพรบ!DV55"")"),0)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IFERROR(__xludf.DUMMYFUNCTION("IMPORTRANGE(""https://docs.google.com/spreadsheets/d/1-uDff_7J0KD5mKrp0Vvzr7lt3OU09vwQwhkpOPPYv2Y/edit?usp=sharing"",""งบพรบ!DR55"")"),0)</f>
        <v>0</v>
      </c>
      <c r="M290" s="427">
        <f ca="1">IFERROR(__xludf.DUMMYFUNCTION("IMPORTRANGE(""https://docs.google.com/spreadsheets/d/1-uDff_7J0KD5mKrp0Vvzr7lt3OU09vwQwhkpOPPYv2Y/edit?usp=sharing"",""งบพรบ!DU55"")"),0)</f>
        <v>0</v>
      </c>
      <c r="N290" s="427">
        <f ca="1">IFERROR(__xludf.DUMMYFUNCTION("IMPORTRANGE(""https://docs.google.com/spreadsheets/d/1-uDff_7J0KD5mKrp0Vvzr7lt3OU09vwQwhkpOPPYv2Y/edit?usp=sharing"",""งบพรบ!DW55"")"),0)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IFERROR(__xludf.DUMMYFUNCTION("IMPORTRANGE(""https://docs.google.com/spreadsheets/d/1eHaY18a8A9IcSdp1K8H6x8fbOy06t2VsZHhMHf-1x7Y/edit?usp=sharing"",""แผน!EE55"")"),0)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IFERROR(__xludf.DUMMYFUNCTION("IMPORTRANGE(""https://docs.google.com/spreadsheets/d/1eHaY18a8A9IcSdp1K8H6x8fbOy06t2VsZHhMHf-1x7Y/edit?usp=sharing"",""แผน!ED55"")"),0)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IFERROR(__xludf.DUMMYFUNCTION("IMPORTRANGE(""https://docs.google.com/spreadsheets/d/1eHaY18a8A9IcSdp1K8H6x8fbOy06t2VsZHhMHf-1x7Y/edit?usp=sharing"",""แผน!ED55"")"),0)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IFERROR(__xludf.DUMMYFUNCTION("IMPORTRANGE(""https://docs.google.com/spreadsheets/d/1eHaY18a8A9IcSdp1K8H6x8fbOy06t2VsZHhMHf-1x7Y/edit?usp=sharing"",""แผน!ED55"")"),0)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20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133500</v>
      </c>
      <c r="M303" s="737">
        <f ca="1">M304+M305</f>
        <v>100900</v>
      </c>
      <c r="N303" s="737">
        <f ca="1">N304+N305</f>
        <v>15056.67</v>
      </c>
      <c r="O303" s="737">
        <f ca="1">IF(L303&gt;0,N303*100/L303,0)</f>
        <v>11.278404494382022</v>
      </c>
      <c r="P303" s="737">
        <f ca="1">IF(M303&gt;0,N303*100/M303,0)</f>
        <v>14.922368681863231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133500</v>
      </c>
      <c r="M305" s="427">
        <f ca="1">M308+M311</f>
        <v>100900</v>
      </c>
      <c r="N305" s="427">
        <f ca="1">N308+N311</f>
        <v>15056.67</v>
      </c>
      <c r="O305" s="427">
        <f ca="1">IF(L305&gt;0,N305*100/L305,0)</f>
        <v>11.278404494382022</v>
      </c>
      <c r="P305" s="427">
        <f ca="1">IF(M305&gt;0,N305*100/M305,0)</f>
        <v>14.922368681863231</v>
      </c>
    </row>
    <row r="306" spans="1:16" ht="18.75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133500</v>
      </c>
      <c r="M306" s="427">
        <f ca="1">M307+M308</f>
        <v>100900</v>
      </c>
      <c r="N306" s="427">
        <f ca="1">N307+N308</f>
        <v>15056.67</v>
      </c>
      <c r="O306" s="427">
        <f ca="1">IF(L306&gt;0,N306*100/L306,0)</f>
        <v>11.278404494382022</v>
      </c>
      <c r="P306" s="427">
        <f ca="1">IF(M306&gt;0,N306*100/M306,0)</f>
        <v>14.922368681863231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IFERROR(__xludf.DUMMYFUNCTION("IMPORTRANGE(""https://docs.google.com/spreadsheets/d/1-uDff_7J0KD5mKrp0Vvzr7lt3OU09vwQwhkpOPPYv2Y/edit?usp=sharing"",""งบพรบ!DY55"")"),133500)</f>
        <v>133500</v>
      </c>
      <c r="M308" s="427">
        <f ca="1">IFERROR(__xludf.DUMMYFUNCTION("IMPORTRANGE(""https://docs.google.com/spreadsheets/d/1-uDff_7J0KD5mKrp0Vvzr7lt3OU09vwQwhkpOPPYv2Y/edit?usp=sharing"",""งบพรบ!ED55"")"),100900)</f>
        <v>100900</v>
      </c>
      <c r="N308" s="427">
        <f ca="1">IFERROR(__xludf.DUMMYFUNCTION("IMPORTRANGE(""https://docs.google.com/spreadsheets/d/1-uDff_7J0KD5mKrp0Vvzr7lt3OU09vwQwhkpOPPYv2Y/edit?usp=sharing"",""งบพรบ!EF55"")"),15056.67)</f>
        <v>15056.67</v>
      </c>
      <c r="O308" s="427">
        <f ca="1">IF(L308&gt;0,N308*100/L308,0)</f>
        <v>11.278404494382022</v>
      </c>
      <c r="P308" s="427">
        <f ca="1">IF(M308&gt;0,N308*100/M308,0)</f>
        <v>14.922368681863231</v>
      </c>
    </row>
    <row r="309" spans="1:16" ht="18.75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IFERROR(__xludf.DUMMYFUNCTION("IMPORTRANGE(""https://docs.google.com/spreadsheets/d/1-uDff_7J0KD5mKrp0Vvzr7lt3OU09vwQwhkpOPPYv2Y/edit?usp=sharing"",""งบพรบ!EB55"")"),0)</f>
        <v>0</v>
      </c>
      <c r="M311" s="427">
        <f ca="1">IFERROR(__xludf.DUMMYFUNCTION("IMPORTRANGE(""https://docs.google.com/spreadsheets/d/1-uDff_7J0KD5mKrp0Vvzr7lt3OU09vwQwhkpOPPYv2Y/edit?usp=sharing"",""งบพรบ!EE55"")"),0)</f>
        <v>0</v>
      </c>
      <c r="N311" s="427">
        <f ca="1">IFERROR(__xludf.DUMMYFUNCTION("IMPORTRANGE(""https://docs.google.com/spreadsheets/d/1-uDff_7J0KD5mKrp0Vvzr7lt3OU09vwQwhkpOPPYv2Y/edit?usp=sharing"",""งบพรบ!EG55"")"),0)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IFERROR(__xludf.DUMMYFUNCTION("IMPORTRANGE(""https://docs.google.com/spreadsheets/d/1eHaY18a8A9IcSdp1K8H6x8fbOy06t2VsZHhMHf-1x7Y/edit?usp=sharing"",""แผน!EF55"")"),20)</f>
        <v>20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IFERROR(__xludf.DUMMYFUNCTION("IMPORTRANGE(""https://docs.google.com/spreadsheets/d/1eHaY18a8A9IcSdp1K8H6x8fbOy06t2VsZHhMHf-1x7Y/edit?usp=sharing"",""แผน!EG55"")"),4)</f>
        <v>4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IFERROR(__xludf.DUMMYFUNCTION("IMPORTRANGE(""https://docs.google.com/spreadsheets/d/1eHaY18a8A9IcSdp1K8H6x8fbOy06t2VsZHhMHf-1x7Y/edit?usp=sharing"",""แผน!EH55"")"),20)</f>
        <v>20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IFERROR(__xludf.DUMMYFUNCTION("IMPORTRANGE(""https://docs.google.com/spreadsheets/d/1eHaY18a8A9IcSdp1K8H6x8fbOy06t2VsZHhMHf-1x7Y/edit?usp=sharing"",""แผน!EI55"")"),4)</f>
        <v>4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IFERROR(__xludf.DUMMYFUNCTION("IMPORTRANGE(""https://docs.google.com/spreadsheets/d/1-uDff_7J0KD5mKrp0Vvzr7lt3OU09vwQwhkpOPPYv2Y/edit?usp=sharing"",""งบพรบ!EI55"")"),0)</f>
        <v>0</v>
      </c>
      <c r="M325" s="427">
        <f ca="1">IFERROR(__xludf.DUMMYFUNCTION("IMPORTRANGE(""https://docs.google.com/spreadsheets/d/1-uDff_7J0KD5mKrp0Vvzr7lt3OU09vwQwhkpOPPYv2Y/edit?usp=sharing"",""งบพรบ!EN55"")"),0)</f>
        <v>0</v>
      </c>
      <c r="N325" s="427">
        <f ca="1">IFERROR(__xludf.DUMMYFUNCTION("IMPORTRANGE(""https://docs.google.com/spreadsheets/d/1-uDff_7J0KD5mKrp0Vvzr7lt3OU09vwQwhkpOPPYv2Y/edit?usp=sharing"",""งบพรบ!EP55"")"),0)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IFERROR(__xludf.DUMMYFUNCTION("IMPORTRANGE(""https://docs.google.com/spreadsheets/d/1-uDff_7J0KD5mKrp0Vvzr7lt3OU09vwQwhkpOPPYv2Y/edit?usp=sharing"",""งบพรบ!EL55"")"),0)</f>
        <v>0</v>
      </c>
      <c r="M328" s="427">
        <f ca="1">IFERROR(__xludf.DUMMYFUNCTION("IMPORTRANGE(""https://docs.google.com/spreadsheets/d/1-uDff_7J0KD5mKrp0Vvzr7lt3OU09vwQwhkpOPPYv2Y/edit?usp=sharing"",""งบพรบ!EO55"")"),0)</f>
        <v>0</v>
      </c>
      <c r="N328" s="427">
        <f ca="1">IFERROR(__xludf.DUMMYFUNCTION("IMPORTRANGE(""https://docs.google.com/spreadsheets/d/1-uDff_7J0KD5mKrp0Vvzr7lt3OU09vwQwhkpOPPYv2Y/edit?usp=sharing"",""งบพรบ!EQ55"")"),0)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IFERROR(__xludf.DUMMYFUNCTION("IMPORTRANGE(""https://docs.google.com/spreadsheets/d/1eHaY18a8A9IcSdp1K8H6x8fbOy06t2VsZHhMHf-1x7Y/edit?usp=sharing"",""แผน!EJ55"")"),0)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761">
        <f ca="1">I344</f>
        <v>2860</v>
      </c>
      <c r="J332" s="761">
        <f ca="1">J344+J347+J348+J349+J353</f>
        <v>4806</v>
      </c>
      <c r="K332" s="760">
        <f ca="1">IF(I332&gt;0,J332*100/I332,0)</f>
        <v>168.04195804195805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379000</v>
      </c>
      <c r="M333" s="737">
        <f ca="1">M334+M335</f>
        <v>278150</v>
      </c>
      <c r="N333" s="737">
        <f ca="1">N334+N335</f>
        <v>123326.68</v>
      </c>
      <c r="O333" s="737">
        <f ca="1">IF(L333&gt;0,N333*100/L333,0)</f>
        <v>32.540021108179417</v>
      </c>
      <c r="P333" s="737">
        <f ca="1">IF(M333&gt;0,N333*100/M333,0)</f>
        <v>44.33819162322488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379000</v>
      </c>
      <c r="M335" s="427">
        <f ca="1">M338+M341</f>
        <v>278150</v>
      </c>
      <c r="N335" s="427">
        <f ca="1">N338+N341</f>
        <v>123326.68</v>
      </c>
      <c r="O335" s="427">
        <f ca="1">IF(L335&gt;0,N335*100/L335,0)</f>
        <v>32.540021108179417</v>
      </c>
      <c r="P335" s="427">
        <f ca="1">IF(M335&gt;0,N335*100/M335,0)</f>
        <v>44.33819162322488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379000</v>
      </c>
      <c r="M336" s="427">
        <f ca="1">M337+M338</f>
        <v>278150</v>
      </c>
      <c r="N336" s="427">
        <f ca="1">N337+N338</f>
        <v>123326.68</v>
      </c>
      <c r="O336" s="427">
        <f ca="1">IF(L336&gt;0,N336*100/L336,0)</f>
        <v>32.540021108179417</v>
      </c>
      <c r="P336" s="427">
        <f ca="1">IF(M336&gt;0,N336*100/M336,0)</f>
        <v>44.33819162322488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IFERROR(__xludf.DUMMYFUNCTION("IMPORTRANGE(""https://docs.google.com/spreadsheets/d/1-uDff_7J0KD5mKrp0Vvzr7lt3OU09vwQwhkpOPPYv2Y/edit?usp=sharing"",""งบพรบ!ES55"")"),379000)</f>
        <v>379000</v>
      </c>
      <c r="M338" s="427">
        <f ca="1">IFERROR(__xludf.DUMMYFUNCTION("IMPORTRANGE(""https://docs.google.com/spreadsheets/d/1-uDff_7J0KD5mKrp0Vvzr7lt3OU09vwQwhkpOPPYv2Y/edit?usp=sharing"",""งบพรบ!EX55"")"),278150)</f>
        <v>278150</v>
      </c>
      <c r="N338" s="427">
        <f ca="1">IFERROR(__xludf.DUMMYFUNCTION("IMPORTRANGE(""https://docs.google.com/spreadsheets/d/1-uDff_7J0KD5mKrp0Vvzr7lt3OU09vwQwhkpOPPYv2Y/edit?usp=sharing"",""งบพรบ!EZ55"")"),123326.68)</f>
        <v>123326.68</v>
      </c>
      <c r="O338" s="427">
        <f ca="1">IF(L338&gt;0,N338*100/L338,0)</f>
        <v>32.540021108179417</v>
      </c>
      <c r="P338" s="427">
        <f ca="1">IF(M338&gt;0,N338*100/M338,0)</f>
        <v>44.33819162322488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IFERROR(__xludf.DUMMYFUNCTION("IMPORTRANGE(""https://docs.google.com/spreadsheets/d/1-uDff_7J0KD5mKrp0Vvzr7lt3OU09vwQwhkpOPPYv2Y/edit?usp=sharing"",""งบพรบ!EV55"")"),0)</f>
        <v>0</v>
      </c>
      <c r="M341" s="427">
        <f ca="1">IFERROR(__xludf.DUMMYFUNCTION("IMPORTRANGE(""https://docs.google.com/spreadsheets/d/1-uDff_7J0KD5mKrp0Vvzr7lt3OU09vwQwhkpOPPYv2Y/edit?usp=sharing"",""งบพรบ!EY55"")"),0)</f>
        <v>0</v>
      </c>
      <c r="N341" s="427">
        <f ca="1">IFERROR(__xludf.DUMMYFUNCTION("IMPORTRANGE(""https://docs.google.com/spreadsheets/d/1-uDff_7J0KD5mKrp0Vvzr7lt3OU09vwQwhkpOPPYv2Y/edit?usp=sharing"",""งบพรบ!FA55"")"),0)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1004"/>
      <c r="B343" s="1003"/>
      <c r="C343" s="283"/>
      <c r="D343" s="617"/>
      <c r="E343" s="572" t="s">
        <v>130</v>
      </c>
      <c r="F343" s="1003"/>
      <c r="G343" s="1002"/>
      <c r="H343" s="439" t="s">
        <v>33</v>
      </c>
      <c r="I343" s="440">
        <v>0</v>
      </c>
      <c r="J343" s="440">
        <f ca="1">J344+J347+J348+J349</f>
        <v>2008</v>
      </c>
      <c r="K343" s="441">
        <v>0</v>
      </c>
      <c r="L343" s="1001"/>
      <c r="M343" s="1001"/>
      <c r="N343" s="1001"/>
      <c r="O343" s="1001"/>
      <c r="P343" s="1001"/>
    </row>
    <row r="344" spans="1:16" ht="18.75" x14ac:dyDescent="0.25">
      <c r="A344" s="419"/>
      <c r="B344" s="420"/>
      <c r="C344" s="421"/>
      <c r="D344" s="423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IFERROR(__xludf.DUMMYFUNCTION("IMPORTRANGE(""https://docs.google.com/spreadsheets/d/1eHaY18a8A9IcSdp1K8H6x8fbOy06t2VsZHhMHf-1x7Y/edit?usp=sharing"",""แผน!EK55"")"),2860)</f>
        <v>2860</v>
      </c>
      <c r="J344" s="426">
        <f ca="1">IFERROR(__xludf.DUMMYFUNCTION("IMPORTRANGE(""https://docs.google.com/spreadsheets/d/1awYsYK3VOup2i3Pq_Yjnu8DRu_mYwSBnCR2QPthd0rU/edit?usp=sharing"",""ศูนย์ยกเว้นโฉนด!D55"")"),2002)</f>
        <v>2002</v>
      </c>
      <c r="K344" s="427">
        <f ca="1">IF(I344&gt;0,J344*100/I344,0)</f>
        <v>70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3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3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IFERROR(__xludf.DUMMYFUNCTION("IMPORTRANGE(""https://docs.google.com/spreadsheets/d/1eHaY18a8A9IcSdp1K8H6x8fbOy06t2VsZHhMHf-1x7Y/edit?usp=sharing"",""แผน!EL55"")"),5)</f>
        <v>5</v>
      </c>
      <c r="J346" s="426">
        <f ca="1">IFERROR(__xludf.DUMMYFUNCTION("IMPORTRANGE(""https://docs.google.com/spreadsheets/d/1awYsYK3VOup2i3Pq_Yjnu8DRu_mYwSBnCR2QPthd0rU/edit?usp=sharing"",""ศูนย์รวม!E55"")"),5)</f>
        <v>5</v>
      </c>
      <c r="K346" s="427">
        <f ca="1">IF(I346&gt;0,J346*100/I346,0)</f>
        <v>100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3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IFERROR(__xludf.DUMMYFUNCTION("IMPORTRANGE(""https://docs.google.com/spreadsheets/d/1awYsYK3VOup2i3Pq_Yjnu8DRu_mYwSBnCR2QPthd0rU/edit?usp=sharing"",""ศูนย์ยกเว้นโฉนด!F55"")"),0)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3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IFERROR(__xludf.DUMMYFUNCTION("IMPORTRANGE(""https://docs.google.com/spreadsheets/d/1awYsYK3VOup2i3Pq_Yjnu8DRu_mYwSBnCR2QPthd0rU/edit?usp=sharing"",""ศูนย์ยกเว้นโฉนด!G55"")"),6)</f>
        <v>6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23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IFERROR(__xludf.DUMMYFUNCTION("IMPORTRANGE(""https://docs.google.com/spreadsheets/d/1awYsYK3VOup2i3Pq_Yjnu8DRu_mYwSBnCR2QPthd0rU/edit?usp=sharing"",""ศูนย์ยกเว้นโฉนด!H55"")"),0)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1004"/>
      <c r="B351" s="1003"/>
      <c r="C351" s="283"/>
      <c r="D351" s="617"/>
      <c r="E351" s="572" t="s">
        <v>138</v>
      </c>
      <c r="F351" s="1003"/>
      <c r="G351" s="1002"/>
      <c r="H351" s="439" t="s">
        <v>33</v>
      </c>
      <c r="I351" s="440">
        <v>0</v>
      </c>
      <c r="J351" s="440">
        <f ca="1">J352+J353</f>
        <v>3172</v>
      </c>
      <c r="K351" s="441">
        <v>0</v>
      </c>
      <c r="L351" s="1001"/>
      <c r="M351" s="1001"/>
      <c r="N351" s="1001"/>
      <c r="O351" s="1001"/>
      <c r="P351" s="1001"/>
    </row>
    <row r="352" spans="1:16" ht="18.75" x14ac:dyDescent="0.25">
      <c r="A352" s="421"/>
      <c r="B352" s="420"/>
      <c r="C352" s="421"/>
      <c r="D352" s="423"/>
      <c r="E352" s="423" t="s">
        <v>139</v>
      </c>
      <c r="F352" s="420"/>
      <c r="G352" s="424"/>
      <c r="H352" s="442" t="s">
        <v>33</v>
      </c>
      <c r="I352" s="429"/>
      <c r="J352" s="1000">
        <f ca="1">IFERROR(__xludf.DUMMYFUNCTION("IMPORTRANGE(""https://docs.google.com/spreadsheets/d/1awYsYK3VOup2i3Pq_Yjnu8DRu_mYwSBnCR2QPthd0rU/edit?usp=sharing"",""โฉนดM3!G55"")"),374)</f>
        <v>374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3"/>
      <c r="E353" s="423" t="s">
        <v>140</v>
      </c>
      <c r="F353" s="420"/>
      <c r="G353" s="424"/>
      <c r="H353" s="442" t="s">
        <v>33</v>
      </c>
      <c r="I353" s="429"/>
      <c r="J353" s="1000">
        <f ca="1">IFERROR(__xludf.DUMMYFUNCTION("IMPORTRANGE(""https://docs.google.com/spreadsheets/d/1awYsYK3VOup2i3Pq_Yjnu8DRu_mYwSBnCR2QPthd0rU/edit?usp=sharing"",""โฉนดM3!H55"")"),2798)</f>
        <v>2798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450655</v>
      </c>
      <c r="M356" s="737">
        <f ca="1">M357+M358</f>
        <v>448030</v>
      </c>
      <c r="N356" s="737">
        <f ca="1">N357+N358</f>
        <v>112130</v>
      </c>
      <c r="O356" s="737">
        <f ca="1">IF(L356&gt;0,N356*100/L356,0)</f>
        <v>24.88156128302138</v>
      </c>
      <c r="P356" s="737">
        <f ca="1">IF(M356&gt;0,N356*100/M356,0)</f>
        <v>25.027341919067918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450655</v>
      </c>
      <c r="M358" s="427">
        <f ca="1">M361+M364</f>
        <v>448030</v>
      </c>
      <c r="N358" s="427">
        <f ca="1">N361+N364</f>
        <v>112130</v>
      </c>
      <c r="O358" s="427">
        <f ca="1">IF(L358&gt;0,N358*100/L358,0)</f>
        <v>24.88156128302138</v>
      </c>
      <c r="P358" s="427">
        <f ca="1">IF(M358&gt;0,N358*100/M358,0)</f>
        <v>25.027341919067918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450655</v>
      </c>
      <c r="M359" s="427">
        <f ca="1">M360+M361</f>
        <v>448030</v>
      </c>
      <c r="N359" s="427">
        <f ca="1">N360+N361</f>
        <v>112130</v>
      </c>
      <c r="O359" s="427">
        <f ca="1">IF(L359&gt;0,N359*100/L359,0)</f>
        <v>24.88156128302138</v>
      </c>
      <c r="P359" s="427">
        <f ca="1">IF(M359&gt;0,N359*100/M359,0)</f>
        <v>25.027341919067918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IFERROR(__xludf.DUMMYFUNCTION("IMPORTRANGE(""https://docs.google.com/spreadsheets/d/1-uDff_7J0KD5mKrp0Vvzr7lt3OU09vwQwhkpOPPYv2Y/edit?usp=sharing"",""งบพรบ!FC55"")"),450655)</f>
        <v>450655</v>
      </c>
      <c r="M361" s="427">
        <f ca="1">IFERROR(__xludf.DUMMYFUNCTION("IMPORTRANGE(""https://docs.google.com/spreadsheets/d/1-uDff_7J0KD5mKrp0Vvzr7lt3OU09vwQwhkpOPPYv2Y/edit?usp=sharing"",""งบพรบ!FH55"")"),448030)</f>
        <v>448030</v>
      </c>
      <c r="N361" s="427">
        <f ca="1">IFERROR(__xludf.DUMMYFUNCTION("IMPORTRANGE(""https://docs.google.com/spreadsheets/d/1-uDff_7J0KD5mKrp0Vvzr7lt3OU09vwQwhkpOPPYv2Y/edit?usp=sharing"",""งบพรบ!FJ55"")"),112130)</f>
        <v>112130</v>
      </c>
      <c r="O361" s="427">
        <f ca="1">IF(L361&gt;0,N361*100/L361,0)</f>
        <v>24.88156128302138</v>
      </c>
      <c r="P361" s="427">
        <f ca="1">IF(M361&gt;0,N361*100/M361,0)</f>
        <v>25.027341919067918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IFERROR(__xludf.DUMMYFUNCTION("IMPORTRANGE(""https://docs.google.com/spreadsheets/d/1-uDff_7J0KD5mKrp0Vvzr7lt3OU09vwQwhkpOPPYv2Y/edit?usp=sharing"",""งบพรบ!FF55"")"),0)</f>
        <v>0</v>
      </c>
      <c r="M364" s="427">
        <f ca="1">IFERROR(__xludf.DUMMYFUNCTION("IMPORTRANGE(""https://docs.google.com/spreadsheets/d/1-uDff_7J0KD5mKrp0Vvzr7lt3OU09vwQwhkpOPPYv2Y/edit?usp=sharing"",""งบพรบ!FI55"")"),0)</f>
        <v>0</v>
      </c>
      <c r="N364" s="427">
        <f ca="1">IFERROR(__xludf.DUMMYFUNCTION("IMPORTRANGE(""https://docs.google.com/spreadsheets/d/1-uDff_7J0KD5mKrp0Vvzr7lt3OU09vwQwhkpOPPYv2Y/edit?usp=sharing"",""งบพรบ!FK55"")"),0)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322</v>
      </c>
      <c r="J365" s="440">
        <f ca="1">J371</f>
        <v>26</v>
      </c>
      <c r="K365" s="441">
        <f ca="1">IF(I365&gt;0,J365*100/I365,0)</f>
        <v>8.0745341614906838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IFERROR(__xludf.DUMMYFUNCTION("IMPORTRANGE(""https://docs.google.com/spreadsheets/d/1tdoBKaGub7dwA3U6UFTqxio9LNnvDCQjHKmttSEBsFQ/edit?usp=sharing"",""จัดที่ดิน!AB55"")"),127)</f>
        <v>127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IFERROR(__xludf.DUMMYFUNCTION("IMPORTRANGE(""https://docs.google.com/spreadsheets/d/1eHaY18a8A9IcSdp1K8H6x8fbOy06t2VsZHhMHf-1x7Y/edit?usp=sharing"",""แผน!EW55"")"),3355)</f>
        <v>3355</v>
      </c>
      <c r="J368" s="726">
        <f ca="1">IFERROR(__xludf.DUMMYFUNCTION("IMPORTRANGE(""https://docs.google.com/spreadsheets/d/1tdoBKaGub7dwA3U6UFTqxio9LNnvDCQjHKmttSEBsFQ/edit?usp=sharing"",""จัดที่ดิน!AC55"")"),1935.52)</f>
        <v>1935.52</v>
      </c>
      <c r="K368" s="427">
        <f ca="1">IF(I368&gt;0,J368*100/I368,0)</f>
        <v>57.690611028315949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IFERROR(__xludf.DUMMYFUNCTION("IMPORTRANGE(""https://docs.google.com/spreadsheets/d/1eHaY18a8A9IcSdp1K8H6x8fbOy06t2VsZHhMHf-1x7Y/edit?usp=sharing"",""แผน!EX55"")"),491)</f>
        <v>491</v>
      </c>
      <c r="J369" s="426">
        <f ca="1">IFERROR(__xludf.DUMMYFUNCTION("IMPORTRANGE(""https://docs.google.com/spreadsheets/d/1tdoBKaGub7dwA3U6UFTqxio9LNnvDCQjHKmttSEBsFQ/edit?usp=sharing"",""จัดที่ดิน!AD55"")"),92)</f>
        <v>92</v>
      </c>
      <c r="K369" s="427">
        <f ca="1">IF(I369&gt;0,J369*100/I369,0)</f>
        <v>18.737270875763748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IFERROR(__xludf.DUMMYFUNCTION("IMPORTRANGE(""https://docs.google.com/spreadsheets/d/1tdoBKaGub7dwA3U6UFTqxio9LNnvDCQjHKmttSEBsFQ/edit?usp=sharing"",""จัดที่ดิน!AE55"")"),1076.99)</f>
        <v>1076.99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IFERROR(__xludf.DUMMYFUNCTION("IMPORTRANGE(""https://docs.google.com/spreadsheets/d/1eHaY18a8A9IcSdp1K8H6x8fbOy06t2VsZHhMHf-1x7Y/edit?usp=sharing"",""แผน!EY55"")"),322)</f>
        <v>322</v>
      </c>
      <c r="J371" s="426">
        <f ca="1">IFERROR(__xludf.DUMMYFUNCTION("IMPORTRANGE(""https://docs.google.com/spreadsheets/d/1tdoBKaGub7dwA3U6UFTqxio9LNnvDCQjHKmttSEBsFQ/edit?usp=sharing"",""จัดที่ดิน!AF55"")"),26)</f>
        <v>26</v>
      </c>
      <c r="K371" s="427">
        <f ca="1">IF(I371&gt;0,J371*100/I371,0)</f>
        <v>8.0745341614906838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IFERROR(__xludf.DUMMYFUNCTION("IMPORTRANGE(""https://docs.google.com/spreadsheets/d/1tdoBKaGub7dwA3U6UFTqxio9LNnvDCQjHKmttSEBsFQ/edit?usp=sharing"",""จัดที่ดิน!AG55"")"),309.2)</f>
        <v>309.2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IFERROR(__xludf.DUMMYFUNCTION("IMPORTRANGE(""https://docs.google.com/spreadsheets/d/1-uDff_7J0KD5mKrp0Vvzr7lt3OU09vwQwhkpOPPYv2Y/edit?usp=sharing"",""งบพรบ!FM55"")"),0)</f>
        <v>0</v>
      </c>
      <c r="M382" s="522">
        <f ca="1">IFERROR(__xludf.DUMMYFUNCTION("IMPORTRANGE(""https://docs.google.com/spreadsheets/d/1-uDff_7J0KD5mKrp0Vvzr7lt3OU09vwQwhkpOPPYv2Y/edit?usp=sharing"",""งบพรบ!FR55"")"),0)</f>
        <v>0</v>
      </c>
      <c r="N382" s="522">
        <f ca="1">IFERROR(__xludf.DUMMYFUNCTION("IMPORTRANGE(""https://docs.google.com/spreadsheets/d/1-uDff_7J0KD5mKrp0Vvzr7lt3OU09vwQwhkpOPPYv2Y/edit?usp=sharing"",""งบพรบ!FT55"")"),0)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IFERROR(__xludf.DUMMYFUNCTION("IMPORTRANGE(""https://docs.google.com/spreadsheets/d/1-uDff_7J0KD5mKrp0Vvzr7lt3OU09vwQwhkpOPPYv2Y/edit?usp=sharing"",""งบพรบ!FP55"")"),0)</f>
        <v>0</v>
      </c>
      <c r="M385" s="522">
        <f ca="1">IFERROR(__xludf.DUMMYFUNCTION("IMPORTRANGE(""https://docs.google.com/spreadsheets/d/1-uDff_7J0KD5mKrp0Vvzr7lt3OU09vwQwhkpOPPYv2Y/edit?usp=sharing"",""งบพรบ!FS55"")"),0)</f>
        <v>0</v>
      </c>
      <c r="N385" s="522">
        <f ca="1">IFERROR(__xludf.DUMMYFUNCTION("IMPORTRANGE(""https://docs.google.com/spreadsheets/d/1-uDff_7J0KD5mKrp0Vvzr7lt3OU09vwQwhkpOPPYv2Y/edit?usp=sharing"",""งบพรบ!FU55"")"),0)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r:id="rId1"/>
  <headerFooter>
    <oddFooter>&amp;Cหน้า 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81B5-AD28-4D8D-A843-7BB1A3847FC7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167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1772164</v>
      </c>
      <c r="M18" s="865">
        <f ca="1">M19+M20</f>
        <v>1475003</v>
      </c>
      <c r="N18" s="865">
        <f ca="1">N19+N20</f>
        <v>541303.25</v>
      </c>
      <c r="O18" s="865">
        <f ca="1">IF(L18&gt;0,N18*100/L18,0)</f>
        <v>30.544760530063808</v>
      </c>
      <c r="P18" s="865">
        <f ca="1">IF(M18&gt;0,N18*100/M18,0)</f>
        <v>36.698450782811967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1772164</v>
      </c>
      <c r="M20" s="972">
        <f ca="1">M23+M26</f>
        <v>1475003</v>
      </c>
      <c r="N20" s="972">
        <f ca="1">N23+N26</f>
        <v>541303.25</v>
      </c>
      <c r="O20" s="972">
        <f ca="1">IF(L20&gt;0,N20*100/L20,0)</f>
        <v>30.544760530063808</v>
      </c>
      <c r="P20" s="972">
        <f ca="1">IF(M20&gt;0,N20*100/M20,0)</f>
        <v>36.698450782811967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1772164</v>
      </c>
      <c r="M21" s="427">
        <f ca="1">M22+M23</f>
        <v>1475003</v>
      </c>
      <c r="N21" s="427">
        <f ca="1">N22+N23</f>
        <v>541303.25</v>
      </c>
      <c r="O21" s="427">
        <f ca="1">IF(L21&gt;0,N21*100/L21,0)</f>
        <v>30.544760530063808</v>
      </c>
      <c r="P21" s="427">
        <f ca="1">IF(M21&gt;0,N21*100/M21,0)</f>
        <v>36.698450782811967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1772164</v>
      </c>
      <c r="M23" s="427">
        <f ca="1">M49+M64+M77+M99+M130+M144+M162+M191+M178+M271+M287+M308+M325+M338+M361+M382</f>
        <v>1475003</v>
      </c>
      <c r="N23" s="427">
        <f ca="1">N49+N64+N77+N99+N130+N144+N162+N191+N178+N271+N287+N308+N325+N338+N361+N382</f>
        <v>541303.25</v>
      </c>
      <c r="O23" s="427">
        <f ca="1">IF(L23&gt;0,N23*100/L23,0)</f>
        <v>30.544760530063808</v>
      </c>
      <c r="P23" s="427">
        <f ca="1">IF(M23&gt;0,N23*100/M23,0)</f>
        <v>36.698450782811967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1772164</v>
      </c>
      <c r="M40" s="964">
        <f ca="1">M44+M59+M72+M94+M125+M139+M157+M173+M186+M266+M282+M303+M320+M333+M356</f>
        <v>1475003</v>
      </c>
      <c r="N40" s="964">
        <f ca="1">N44+N59+N72+N94+N125+N139+N157+N173+N186+N266+N282+N303+N320+N333+N356</f>
        <v>541303.25</v>
      </c>
      <c r="O40" s="964">
        <f ca="1">IF(L40&gt;0,N40*100/L40,0)</f>
        <v>30.544760530063808</v>
      </c>
      <c r="P40" s="964">
        <f ca="1">IF(M40&gt;0,N40*100/M40,0)</f>
        <v>36.698450782811967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379939</v>
      </c>
      <c r="M44" s="949">
        <f ca="1">M45+M46</f>
        <v>386578</v>
      </c>
      <c r="N44" s="949">
        <f ca="1">N45+N46</f>
        <v>99239</v>
      </c>
      <c r="O44" s="949">
        <f ca="1">IF(L44&gt;0,N44*100/L44,0)</f>
        <v>26.11971921808501</v>
      </c>
      <c r="P44" s="949">
        <f ca="1">IF(M44&gt;0,N44*100/M44,0)</f>
        <v>25.6711452798659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379939</v>
      </c>
      <c r="M46" s="941">
        <f ca="1">M49+M52</f>
        <v>386578</v>
      </c>
      <c r="N46" s="941">
        <f ca="1">N49+N52</f>
        <v>99239</v>
      </c>
      <c r="O46" s="941">
        <f ca="1">IF(L46&gt;0,N46*100/L46,0)</f>
        <v>26.11971921808501</v>
      </c>
      <c r="P46" s="941">
        <f ca="1">IF(M46&gt;0,N46*100/M46,0)</f>
        <v>25.6711452798659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379939</v>
      </c>
      <c r="M47" s="427">
        <f ca="1">M48+M49</f>
        <v>386578</v>
      </c>
      <c r="N47" s="427">
        <f ca="1">N48+N49</f>
        <v>99239</v>
      </c>
      <c r="O47" s="427">
        <f ca="1">IF(L47&gt;0,N47*100/L47,0)</f>
        <v>26.11971921808501</v>
      </c>
      <c r="P47" s="427">
        <f ca="1">IF(M47&gt;0,N47*100/M47,0)</f>
        <v>25.6711452798659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IFERROR(__xludf.DUMMYFUNCTION("IMPORTRANGE(""https://docs.google.com/spreadsheets/d/1-uDff_7J0KD5mKrp0Vvzr7lt3OU09vwQwhkpOPPYv2Y/edit?usp=sharing"",""งบพรบ!P56"")"),379939)</f>
        <v>379939</v>
      </c>
      <c r="M49" s="427">
        <f ca="1">IFERROR(__xludf.DUMMYFUNCTION("IMPORTRANGE(""https://docs.google.com/spreadsheets/d/1-uDff_7J0KD5mKrp0Vvzr7lt3OU09vwQwhkpOPPYv2Y/edit?usp=sharing"",""งบพรบ!V56"")"),386578)</f>
        <v>386578</v>
      </c>
      <c r="N49" s="427">
        <f ca="1">IFERROR(__xludf.DUMMYFUNCTION("IMPORTRANGE(""https://docs.google.com/spreadsheets/d/1-uDff_7J0KD5mKrp0Vvzr7lt3OU09vwQwhkpOPPYv2Y/edit?usp=sharing"",""งบพรบ!Y56"")"),99239)</f>
        <v>99239</v>
      </c>
      <c r="O49" s="427">
        <f ca="1">IF(L49&gt;0,N49*100/L49,0)</f>
        <v>26.11971921808501</v>
      </c>
      <c r="P49" s="427">
        <f ca="1">IF(M49&gt;0,N49*100/M49,0)</f>
        <v>25.6711452798659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IFERROR(__xludf.DUMMYFUNCTION("IMPORTRANGE(""https://docs.google.com/spreadsheets/d/1-uDff_7J0KD5mKrp0Vvzr7lt3OU09vwQwhkpOPPYv2Y/edit?usp=sharing"",""งบพรบ!S56"")"),0)</f>
        <v>0</v>
      </c>
      <c r="M52" s="427">
        <f ca="1">IFERROR(__xludf.DUMMYFUNCTION("IMPORTRANGE(""https://docs.google.com/spreadsheets/d/1-uDff_7J0KD5mKrp0Vvzr7lt3OU09vwQwhkpOPPYv2Y/edit?usp=sharing"",""งบพรบ!W56"")"),0)</f>
        <v>0</v>
      </c>
      <c r="N52" s="427">
        <f ca="1">IFERROR(__xludf.DUMMYFUNCTION("IMPORTRANGE(""https://docs.google.com/spreadsheets/d/1-uDff_7J0KD5mKrp0Vvzr7lt3OU09vwQwhkpOPPYv2Y/edit?usp=sharing"",""งบพรบ!Z56"")"),0)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478300</v>
      </c>
      <c r="M59" s="921">
        <f ca="1">M60+M61</f>
        <v>360550</v>
      </c>
      <c r="N59" s="921">
        <f ca="1">N60+N61</f>
        <v>256316.5</v>
      </c>
      <c r="O59" s="921">
        <f ca="1">IF(L59&gt;0,N59*100/L59,0)</f>
        <v>53.589065440100356</v>
      </c>
      <c r="P59" s="921">
        <f ca="1">IF(M59&gt;0,N59*100/M59,0)</f>
        <v>71.090417417833862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478300</v>
      </c>
      <c r="M61" s="913">
        <f ca="1">M64+M67</f>
        <v>360550</v>
      </c>
      <c r="N61" s="913">
        <f ca="1">N64+N67</f>
        <v>256316.5</v>
      </c>
      <c r="O61" s="913">
        <f ca="1">IF(L61&gt;0,N61*100/L61,0)</f>
        <v>53.589065440100356</v>
      </c>
      <c r="P61" s="913">
        <f ca="1">IF(M61&gt;0,N61*100/M61,0)</f>
        <v>71.090417417833862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478300</v>
      </c>
      <c r="M62" s="427">
        <f ca="1">M63+M64</f>
        <v>360550</v>
      </c>
      <c r="N62" s="427">
        <f ca="1">N63+N64</f>
        <v>256316.5</v>
      </c>
      <c r="O62" s="427">
        <f ca="1">IF(L62&gt;0,N62*100/L62,0)</f>
        <v>53.589065440100356</v>
      </c>
      <c r="P62" s="427">
        <f ca="1">IF(M62&gt;0,N62*100/M62,0)</f>
        <v>71.090417417833862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IFERROR(__xludf.DUMMYFUNCTION("IMPORTRANGE(""https://docs.google.com/spreadsheets/d/1-uDff_7J0KD5mKrp0Vvzr7lt3OU09vwQwhkpOPPYv2Y/edit?usp=sharing"",""งบพรบ!AC56"")"),478300)</f>
        <v>478300</v>
      </c>
      <c r="M64" s="427">
        <f ca="1">IFERROR(__xludf.DUMMYFUNCTION("IMPORTRANGE(""https://docs.google.com/spreadsheets/d/1-uDff_7J0KD5mKrp0Vvzr7lt3OU09vwQwhkpOPPYv2Y/edit?usp=sharing"",""งบพรบ!AH56"")"),360550)</f>
        <v>360550</v>
      </c>
      <c r="N64" s="427">
        <f ca="1">IFERROR(__xludf.DUMMYFUNCTION("IMPORTRANGE(""https://docs.google.com/spreadsheets/d/1-uDff_7J0KD5mKrp0Vvzr7lt3OU09vwQwhkpOPPYv2Y/edit?usp=sharing"",""งบพรบ!AJ56"")"),256316.5)</f>
        <v>256316.5</v>
      </c>
      <c r="O64" s="427">
        <f ca="1">IF(L64&gt;0,N64*100/L64,0)</f>
        <v>53.589065440100356</v>
      </c>
      <c r="P64" s="427">
        <f ca="1">IF(M64&gt;0,N64*100/M64,0)</f>
        <v>71.090417417833862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IFERROR(__xludf.DUMMYFUNCTION("IMPORTRANGE(""https://docs.google.com/spreadsheets/d/1-uDff_7J0KD5mKrp0Vvzr7lt3OU09vwQwhkpOPPYv2Y/edit?usp=sharing"",""งบพรบ!AF56"")"),0)</f>
        <v>0</v>
      </c>
      <c r="M67" s="644">
        <f ca="1">IFERROR(__xludf.DUMMYFUNCTION("IMPORTRANGE(""https://docs.google.com/spreadsheets/d/1-uDff_7J0KD5mKrp0Vvzr7lt3OU09vwQwhkpOPPYv2Y/edit?usp=sharing"",""งบพรบ!AI56"")"),0)</f>
        <v>0</v>
      </c>
      <c r="N67" s="644">
        <f ca="1">IFERROR(__xludf.DUMMYFUNCTION("IMPORTRANGE(""https://docs.google.com/spreadsheets/d/1-uDff_7J0KD5mKrp0Vvzr7lt3OU09vwQwhkpOPPYv2Y/edit?usp=sharing"",""งบพรบ!AK56"")"),0)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IFERROR(__xludf.DUMMYFUNCTION("IMPORTRANGE(""https://docs.google.com/spreadsheets/d/1-uDff_7J0KD5mKrp0Vvzr7lt3OU09vwQwhkpOPPYv2Y/edit?usp=sharing"",""งบพรบ!AM56"")"),0)</f>
        <v>0</v>
      </c>
      <c r="M77" s="427">
        <f ca="1">IFERROR(__xludf.DUMMYFUNCTION("IMPORTRANGE(""https://docs.google.com/spreadsheets/d/1-uDff_7J0KD5mKrp0Vvzr7lt3OU09vwQwhkpOPPYv2Y/edit?usp=sharing"",""งบพรบ!AR56"")"),0)</f>
        <v>0</v>
      </c>
      <c r="N77" s="427">
        <f ca="1">IFERROR(__xludf.DUMMYFUNCTION("IMPORTRANGE(""https://docs.google.com/spreadsheets/d/1-uDff_7J0KD5mKrp0Vvzr7lt3OU09vwQwhkpOPPYv2Y/edit?usp=sharing"",""งบพรบ!AT56"")"),0)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IFERROR(__xludf.DUMMYFUNCTION("IMPORTRANGE(""https://docs.google.com/spreadsheets/d/1-uDff_7J0KD5mKrp0Vvzr7lt3OU09vwQwhkpOPPYv2Y/edit?usp=sharing"",""งบพรบ!AP56"")"),0)</f>
        <v>0</v>
      </c>
      <c r="M80" s="427">
        <f ca="1">IFERROR(__xludf.DUMMYFUNCTION("IMPORTRANGE(""https://docs.google.com/spreadsheets/d/1-uDff_7J0KD5mKrp0Vvzr7lt3OU09vwQwhkpOPPYv2Y/edit?usp=sharing"",""งบพรบ!AS56"")"),0)</f>
        <v>0</v>
      </c>
      <c r="N80" s="427">
        <f ca="1">IFERROR(__xludf.DUMMYFUNCTION("IMPORTRANGE(""https://docs.google.com/spreadsheets/d/1-uDff_7J0KD5mKrp0Vvzr7lt3OU09vwQwhkpOPPYv2Y/edit?usp=sharing"",""งบพรบ!AU56"")"),0)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IFERROR(__xludf.DUMMYFUNCTION("IMPORTRANGE(""https://docs.google.com/spreadsheets/d/1eHaY18a8A9IcSdp1K8H6x8fbOy06t2VsZHhMHf-1x7Y/edit?usp=sharing"",""แผน!H56"")"),0)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IFERROR(__xludf.DUMMYFUNCTION("IMPORTRANGE(""https://docs.google.com/spreadsheets/d/1eHaY18a8A9IcSdp1K8H6x8fbOy06t2VsZHhMHf-1x7Y/edit?usp=sharing"",""แผน!I56"")"),0)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IFERROR(__xludf.DUMMYFUNCTION("IMPORTRANGE(""https://docs.google.com/spreadsheets/d/1eHaY18a8A9IcSdp1K8H6x8fbOy06t2VsZHhMHf-1x7Y/edit?usp=sharing"",""แผน!F56"")"),0)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IFERROR(__xludf.DUMMYFUNCTION("IMPORTRANGE(""https://docs.google.com/spreadsheets/d/1eHaY18a8A9IcSdp1K8H6x8fbOy06t2VsZHhMHf-1x7Y/edit?usp=sharing"",""แผน!G56"")"),0)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IFERROR(__xludf.DUMMYFUNCTION("IMPORTRANGE(""https://docs.google.com/spreadsheets/d/1eHaY18a8A9IcSdp1K8H6x8fbOy06t2VsZHhMHf-1x7Y/edit?usp=sharing"",""แผน!D56"")"),0)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IFERROR(__xludf.DUMMYFUNCTION("IMPORTRANGE(""https://docs.google.com/spreadsheets/d/1eHaY18a8A9IcSdp1K8H6x8fbOy06t2VsZHhMHf-1x7Y/edit?usp=sharing"",""แผน!E56"")"),0)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IFERROR(__xludf.DUMMYFUNCTION("IMPORTRANGE(""https://docs.google.com/spreadsheets/d/1eHaY18a8A9IcSdp1K8H6x8fbOy06t2VsZHhMHf-1x7Y/edit?usp=sharing"",""แผน!J56"")"),0)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IFERROR(__xludf.DUMMYFUNCTION("IMPORTRANGE(""https://docs.google.com/spreadsheets/d/1-uDff_7J0KD5mKrp0Vvzr7lt3OU09vwQwhkpOPPYv2Y/edit?usp=sharing"",""งบพรบ!AW56"")"),0)</f>
        <v>0</v>
      </c>
      <c r="M99" s="427">
        <f ca="1">IFERROR(__xludf.DUMMYFUNCTION("IMPORTRANGE(""https://docs.google.com/spreadsheets/d/1-uDff_7J0KD5mKrp0Vvzr7lt3OU09vwQwhkpOPPYv2Y/edit?usp=sharing"",""งบพรบ!BB56"")"),0)</f>
        <v>0</v>
      </c>
      <c r="N99" s="427">
        <f ca="1">IFERROR(__xludf.DUMMYFUNCTION("IMPORTRANGE(""https://docs.google.com/spreadsheets/d/1-uDff_7J0KD5mKrp0Vvzr7lt3OU09vwQwhkpOPPYv2Y/edit?usp=sharing"",""งบพรบ!BD56"")"),0)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IFERROR(__xludf.DUMMYFUNCTION("IMPORTRANGE(""https://docs.google.com/spreadsheets/d/1-uDff_7J0KD5mKrp0Vvzr7lt3OU09vwQwhkpOPPYv2Y/edit?usp=sharing"",""งบพรบ!AZ56"")"),0)</f>
        <v>0</v>
      </c>
      <c r="M102" s="427">
        <f ca="1">IFERROR(__xludf.DUMMYFUNCTION("IMPORTRANGE(""https://docs.google.com/spreadsheets/d/1-uDff_7J0KD5mKrp0Vvzr7lt3OU09vwQwhkpOPPYv2Y/edit?usp=sharing"",""งบพรบ!BC56"")"),0)</f>
        <v>0</v>
      </c>
      <c r="N102" s="427">
        <f ca="1">IFERROR(__xludf.DUMMYFUNCTION("IMPORTRANGE(""https://docs.google.com/spreadsheets/d/1-uDff_7J0KD5mKrp0Vvzr7lt3OU09vwQwhkpOPPYv2Y/edit?usp=sharing"",""งบพรบ!BE56"")"),0)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IFERROR(__xludf.DUMMYFUNCTION("IMPORTRANGE(""https://docs.google.com/spreadsheets/d/1eHaY18a8A9IcSdp1K8H6x8fbOy06t2VsZHhMHf-1x7Y/edit?usp=sharing"",""แผน!N56"")"),0)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IFERROR(__xludf.DUMMYFUNCTION("IMPORTRANGE(""https://docs.google.com/spreadsheets/d/1eHaY18a8A9IcSdp1K8H6x8fbOy06t2VsZHhMHf-1x7Y/edit?usp=sharing"",""แผน!O56"")"),0)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IFERROR(__xludf.DUMMYFUNCTION("IMPORTRANGE(""https://docs.google.com/spreadsheets/d/1eHaY18a8A9IcSdp1K8H6x8fbOy06t2VsZHhMHf-1x7Y/edit?usp=sharing"",""แผน!R56"")"),0)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IFERROR(__xludf.DUMMYFUNCTION("IMPORTRANGE(""https://docs.google.com/spreadsheets/d/1-uDff_7J0KD5mKrp0Vvzr7lt3OU09vwQwhkpOPPYv2Y/edit?usp=sharing"",""งบพรบ!BG56"")"),0)</f>
        <v>0</v>
      </c>
      <c r="M130" s="886">
        <f ca="1">IFERROR(__xludf.DUMMYFUNCTION("IMPORTRANGE(""https://docs.google.com/spreadsheets/d/1-uDff_7J0KD5mKrp0Vvzr7lt3OU09vwQwhkpOPPYv2Y/edit?usp=sharing"",""งบพรบ!BL56"")"),0)</f>
        <v>0</v>
      </c>
      <c r="N130" s="886">
        <f ca="1">IFERROR(__xludf.DUMMYFUNCTION("IMPORTRANGE(""https://docs.google.com/spreadsheets/d/1-uDff_7J0KD5mKrp0Vvzr7lt3OU09vwQwhkpOPPYv2Y/edit?usp=sharing"",""งบพรบ!BN56"")"),0)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IFERROR(__xludf.DUMMYFUNCTION("IMPORTRANGE(""https://docs.google.com/spreadsheets/d/1-uDff_7J0KD5mKrp0Vvzr7lt3OU09vwQwhkpOPPYv2Y/edit?usp=sharing"",""งบพรบ!BJ56"")"),0)</f>
        <v>0</v>
      </c>
      <c r="M133" s="886">
        <f ca="1">IFERROR(__xludf.DUMMYFUNCTION("IMPORTRANGE(""https://docs.google.com/spreadsheets/d/1-uDff_7J0KD5mKrp0Vvzr7lt3OU09vwQwhkpOPPYv2Y/edit?usp=sharing"",""งบพรบ!BM56"")"),0)</f>
        <v>0</v>
      </c>
      <c r="N133" s="886">
        <f ca="1">IFERROR(__xludf.DUMMYFUNCTION("IMPORTRANGE(""https://docs.google.com/spreadsheets/d/1-uDff_7J0KD5mKrp0Vvzr7lt3OU09vwQwhkpOPPYv2Y/edit?usp=sharing"",""งบพรบ!BO56"")"),0)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10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1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95500</v>
      </c>
      <c r="M139" s="737">
        <f ca="1">M140+M141</f>
        <v>70300</v>
      </c>
      <c r="N139" s="737">
        <f ca="1">N140+N141</f>
        <v>22000</v>
      </c>
      <c r="O139" s="737">
        <f ca="1">IF(L139&gt;0,N139*100/L139,0)</f>
        <v>23.036649214659686</v>
      </c>
      <c r="P139" s="737">
        <f ca="1">IF(M139&gt;0,N139*100/M139,0)</f>
        <v>31.294452347083926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95500</v>
      </c>
      <c r="M141" s="427">
        <f ca="1">M144+M147</f>
        <v>70300</v>
      </c>
      <c r="N141" s="427">
        <f ca="1">N144+N147</f>
        <v>22000</v>
      </c>
      <c r="O141" s="427">
        <f ca="1">IF(L141&gt;0,N141*100/L141,0)</f>
        <v>23.036649214659686</v>
      </c>
      <c r="P141" s="427">
        <f ca="1">IF(M141&gt;0,N141*100/M141,0)</f>
        <v>31.294452347083926</v>
      </c>
    </row>
    <row r="142" spans="1:16" ht="18.75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95500</v>
      </c>
      <c r="M142" s="427">
        <f ca="1">M143+M144</f>
        <v>70300</v>
      </c>
      <c r="N142" s="427">
        <f ca="1">N143+N144</f>
        <v>22000</v>
      </c>
      <c r="O142" s="427">
        <f ca="1">IF(L142&gt;0,N142*100/L142,0)</f>
        <v>23.036649214659686</v>
      </c>
      <c r="P142" s="427">
        <f ca="1">IF(M142&gt;0,N142*100/M142,0)</f>
        <v>31.294452347083926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IFERROR(__xludf.DUMMYFUNCTION("IMPORTRANGE(""https://docs.google.com/spreadsheets/d/1-uDff_7J0KD5mKrp0Vvzr7lt3OU09vwQwhkpOPPYv2Y/edit?usp=sharing"",""งบพรบ!BQ56"")"),95500)</f>
        <v>95500</v>
      </c>
      <c r="M144" s="427">
        <f ca="1">IFERROR(__xludf.DUMMYFUNCTION("IMPORTRANGE(""https://docs.google.com/spreadsheets/d/1-uDff_7J0KD5mKrp0Vvzr7lt3OU09vwQwhkpOPPYv2Y/edit?usp=sharing"",""งบพรบ!BV56"")"),70300)</f>
        <v>70300</v>
      </c>
      <c r="N144" s="427">
        <f ca="1">IFERROR(__xludf.DUMMYFUNCTION("IMPORTRANGE(""https://docs.google.com/spreadsheets/d/1-uDff_7J0KD5mKrp0Vvzr7lt3OU09vwQwhkpOPPYv2Y/edit?usp=sharing"",""งบพรบ!BX56"")"),22000)</f>
        <v>22000</v>
      </c>
      <c r="O144" s="427">
        <f ca="1">IF(L144&gt;0,N144*100/L144,0)</f>
        <v>23.036649214659686</v>
      </c>
      <c r="P144" s="427">
        <f ca="1">IF(M144&gt;0,N144*100/M144,0)</f>
        <v>31.294452347083926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IFERROR(__xludf.DUMMYFUNCTION("IMPORTRANGE(""https://docs.google.com/spreadsheets/d/1-uDff_7J0KD5mKrp0Vvzr7lt3OU09vwQwhkpOPPYv2Y/edit?usp=sharing"",""งบพรบ!BT56"")"),0)</f>
        <v>0</v>
      </c>
      <c r="M147" s="427">
        <f ca="1">IFERROR(__xludf.DUMMYFUNCTION("IMPORTRANGE(""https://docs.google.com/spreadsheets/d/1-uDff_7J0KD5mKrp0Vvzr7lt3OU09vwQwhkpOPPYv2Y/edit?usp=sharing"",""งบพรบ!BW56"")"),0)</f>
        <v>0</v>
      </c>
      <c r="N147" s="427">
        <f ca="1">IFERROR(__xludf.DUMMYFUNCTION("IMPORTRANGE(""https://docs.google.com/spreadsheets/d/1-uDff_7J0KD5mKrp0Vvzr7lt3OU09vwQwhkpOPPYv2Y/edit?usp=sharing"",""งบพรบ!BY56"")"),0)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IFERROR(__xludf.DUMMYFUNCTION("IMPORTRANGE(""https://docs.google.com/spreadsheets/d/1eHaY18a8A9IcSdp1K8H6x8fbOy06t2VsZHhMHf-1x7Y/edit?usp=sharing"",""แผน!U56"")"),0)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IFERROR(__xludf.DUMMYFUNCTION("IMPORTRANGE(""https://docs.google.com/spreadsheets/d/1eHaY18a8A9IcSdp1K8H6x8fbOy06t2VsZHhMHf-1x7Y/edit?usp=sharing"",""แผน!V56"")"),0)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IFERROR(__xludf.DUMMYFUNCTION("IMPORTRANGE(""https://docs.google.com/spreadsheets/d/1eHaY18a8A9IcSdp1K8H6x8fbOy06t2VsZHhMHf-1x7Y/edit?usp=sharing"",""แผน!W56"")"),10)</f>
        <v>10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IFERROR(__xludf.DUMMYFUNCTION("IMPORTRANGE(""https://docs.google.com/spreadsheets/d/1eHaY18a8A9IcSdp1K8H6x8fbOy06t2VsZHhMHf-1x7Y/edit?usp=sharing"",""แผน!X56"")"),1)</f>
        <v>1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IFERROR(__xludf.DUMMYFUNCTION("IMPORTRANGE(""https://docs.google.com/spreadsheets/d/1eHaY18a8A9IcSdp1K8H6x8fbOy06t2VsZHhMHf-1x7Y/edit?usp=sharing"",""แผน!Y56"")"),0)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IFERROR(__xludf.DUMMYFUNCTION("IMPORTRANGE(""https://docs.google.com/spreadsheets/d/1-uDff_7J0KD5mKrp0Vvzr7lt3OU09vwQwhkpOPPYv2Y/edit?usp=sharing"",""งบพรบ!CA56"")"),0)</f>
        <v>0</v>
      </c>
      <c r="M162" s="427">
        <f ca="1">IFERROR(__xludf.DUMMYFUNCTION("IMPORTRANGE(""https://docs.google.com/spreadsheets/d/1-uDff_7J0KD5mKrp0Vvzr7lt3OU09vwQwhkpOPPYv2Y/edit?usp=sharing"",""งบพรบ!CF56"")"),0)</f>
        <v>0</v>
      </c>
      <c r="N162" s="427">
        <f ca="1">IFERROR(__xludf.DUMMYFUNCTION("IMPORTRANGE(""https://docs.google.com/spreadsheets/d/1-uDff_7J0KD5mKrp0Vvzr7lt3OU09vwQwhkpOPPYv2Y/edit?usp=sharing"",""งบพรบ!CH56"")"),0)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IFERROR(__xludf.DUMMYFUNCTION("IMPORTRANGE(""https://docs.google.com/spreadsheets/d/1-uDff_7J0KD5mKrp0Vvzr7lt3OU09vwQwhkpOPPYv2Y/edit?usp=sharing"",""งบพรบ!CD56"")"),0)</f>
        <v>0</v>
      </c>
      <c r="M165" s="427">
        <f ca="1">IFERROR(__xludf.DUMMYFUNCTION("IMPORTRANGE(""https://docs.google.com/spreadsheets/d/1-uDff_7J0KD5mKrp0Vvzr7lt3OU09vwQwhkpOPPYv2Y/edit?usp=sharing"",""งบพรบ!CG56"")"),0)</f>
        <v>0</v>
      </c>
      <c r="N165" s="427">
        <f ca="1">IFERROR(__xludf.DUMMYFUNCTION("IMPORTRANGE(""https://docs.google.com/spreadsheets/d/1-uDff_7J0KD5mKrp0Vvzr7lt3OU09vwQwhkpOPPYv2Y/edit?usp=sharing"",""งบพรบ!CI56"")"),0)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IFERROR(__xludf.DUMMYFUNCTION("IMPORTRANGE(""https://docs.google.com/spreadsheets/d/1eHaY18a8A9IcSdp1K8H6x8fbOy06t2VsZHhMHf-1x7Y/edit?usp=sharing"",""แผน!Z56"")"),0)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IFERROR(__xludf.DUMMYFUNCTION("IMPORTRANGE(""https://docs.google.com/spreadsheets/d/1eHaY18a8A9IcSdp1K8H6x8fbOy06t2VsZHhMHf-1x7Y/edit?usp=sharing"",""แผน!Z56"")"),0)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IFERROR(__xludf.DUMMYFUNCTION("IMPORTRANGE(""https://docs.google.com/spreadsheets/d/1eHaY18a8A9IcSdp1K8H6x8fbOy06t2VsZHhMHf-1x7Y/edit?usp=sharing"",""แผน!Z56"")"),0)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hidden="1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hidden="1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hidden="1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0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hidden="1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0</v>
      </c>
      <c r="M173" s="737">
        <f ca="1">M174+M175</f>
        <v>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hidden="1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0</v>
      </c>
      <c r="M175" s="427">
        <f ca="1">M178+M181</f>
        <v>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hidden="1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0</v>
      </c>
      <c r="M176" s="427">
        <f ca="1">M177+M178</f>
        <v>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hidden="1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IFERROR(__xludf.DUMMYFUNCTION("IMPORTRANGE(""https://docs.google.com/spreadsheets/d/1-uDff_7J0KD5mKrp0Vvzr7lt3OU09vwQwhkpOPPYv2Y/edit?usp=sharing"",""งบพรบ!CK56"")"),0)</f>
        <v>0</v>
      </c>
      <c r="M178" s="427">
        <f ca="1">IFERROR(__xludf.DUMMYFUNCTION("IMPORTRANGE(""https://docs.google.com/spreadsheets/d/1-uDff_7J0KD5mKrp0Vvzr7lt3OU09vwQwhkpOPPYv2Y/edit?usp=sharing"",""งบพรบ!CP56"")"),0)</f>
        <v>0</v>
      </c>
      <c r="N178" s="427">
        <f ca="1">IFERROR(__xludf.DUMMYFUNCTION("IMPORTRANGE(""https://docs.google.com/spreadsheets/d/1-uDff_7J0KD5mKrp0Vvzr7lt3OU09vwQwhkpOPPYv2Y/edit?usp=sharing"",""งบพรบ!CR56"")"),0)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hidden="1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hidden="1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IFERROR(__xludf.DUMMYFUNCTION("IMPORTRANGE(""https://docs.google.com/spreadsheets/d/1-uDff_7J0KD5mKrp0Vvzr7lt3OU09vwQwhkpOPPYv2Y/edit?usp=sharing"",""งบพรบ!CN56"")"),0)</f>
        <v>0</v>
      </c>
      <c r="M181" s="427">
        <f ca="1">IFERROR(__xludf.DUMMYFUNCTION("IMPORTRANGE(""https://docs.google.com/spreadsheets/d/1-uDff_7J0KD5mKrp0Vvzr7lt3OU09vwQwhkpOPPYv2Y/edit?usp=sharing"",""งบพรบ!CQ56"")"),0)</f>
        <v>0</v>
      </c>
      <c r="N181" s="427">
        <f ca="1">IFERROR(__xludf.DUMMYFUNCTION("IMPORTRANGE(""https://docs.google.com/spreadsheets/d/1-uDff_7J0KD5mKrp0Vvzr7lt3OU09vwQwhkpOPPYv2Y/edit?usp=sharing"",""งบพรบ!CS56"")"),0)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hidden="1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hidden="1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IFERROR(__xludf.DUMMYFUNCTION("IMPORTRANGE(""https://docs.google.com/spreadsheets/d/1eHaY18a8A9IcSdp1K8H6x8fbOy06t2VsZHhMHf-1x7Y/edit?usp=sharing"",""แผน!AA56"")"),0)</f>
        <v>0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20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81100</v>
      </c>
      <c r="M186" s="737">
        <f ca="1">M187+M188</f>
        <v>64100</v>
      </c>
      <c r="N186" s="737">
        <f ca="1">N187+N188</f>
        <v>33885</v>
      </c>
      <c r="O186" s="737">
        <f ca="1">IF(L186&gt;0,N186*100/L186,0)</f>
        <v>41.78175092478422</v>
      </c>
      <c r="P186" s="737">
        <f ca="1">IF(M186&gt;0,N186*100/M186,0)</f>
        <v>52.862714508580346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81100</v>
      </c>
      <c r="M188" s="427">
        <f ca="1">M191+M194</f>
        <v>64100</v>
      </c>
      <c r="N188" s="427">
        <f ca="1">N191+N194</f>
        <v>33885</v>
      </c>
      <c r="O188" s="427">
        <f ca="1">IF(L188&gt;0,N188*100/L188,0)</f>
        <v>41.78175092478422</v>
      </c>
      <c r="P188" s="427">
        <f ca="1">IF(M188&gt;0,N188*100/M188,0)</f>
        <v>52.862714508580346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81100</v>
      </c>
      <c r="M189" s="427">
        <f ca="1">M190+M191</f>
        <v>64100</v>
      </c>
      <c r="N189" s="427">
        <f ca="1">N190+N191</f>
        <v>33885</v>
      </c>
      <c r="O189" s="427">
        <f ca="1">IF(L189&gt;0,N189*100/L189,0)</f>
        <v>41.78175092478422</v>
      </c>
      <c r="P189" s="427">
        <f ca="1">IF(M189&gt;0,N189*100/M189,0)</f>
        <v>52.862714508580346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IFERROR(__xludf.DUMMYFUNCTION("IMPORTRANGE(""https://docs.google.com/spreadsheets/d/1-uDff_7J0KD5mKrp0Vvzr7lt3OU09vwQwhkpOPPYv2Y/edit?usp=sharing"",""งบพรบ!CU56"")"),81100)</f>
        <v>81100</v>
      </c>
      <c r="M191" s="427">
        <f ca="1">IFERROR(__xludf.DUMMYFUNCTION("IMPORTRANGE(""https://docs.google.com/spreadsheets/d/1-uDff_7J0KD5mKrp0Vvzr7lt3OU09vwQwhkpOPPYv2Y/edit?usp=sharing"",""งบพรบ!CZ56"")"),64100)</f>
        <v>64100</v>
      </c>
      <c r="N191" s="427">
        <f ca="1">IFERROR(__xludf.DUMMYFUNCTION("IMPORTRANGE(""https://docs.google.com/spreadsheets/d/1-uDff_7J0KD5mKrp0Vvzr7lt3OU09vwQwhkpOPPYv2Y/edit?usp=sharing"",""งบพรบ!DB56"")"),33885)</f>
        <v>33885</v>
      </c>
      <c r="O191" s="427">
        <f ca="1">IF(L191&gt;0,N191*100/L191,0)</f>
        <v>41.78175092478422</v>
      </c>
      <c r="P191" s="427">
        <f ca="1">IF(M191&gt;0,N191*100/M191,0)</f>
        <v>52.862714508580346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IFERROR(__xludf.DUMMYFUNCTION("IMPORTRANGE(""https://docs.google.com/spreadsheets/d/1-uDff_7J0KD5mKrp0Vvzr7lt3OU09vwQwhkpOPPYv2Y/edit?usp=sharing"",""งบพรบ!CX56"")"),0)</f>
        <v>0</v>
      </c>
      <c r="M194" s="427">
        <f ca="1">IFERROR(__xludf.DUMMYFUNCTION("IMPORTRANGE(""https://docs.google.com/spreadsheets/d/1-uDff_7J0KD5mKrp0Vvzr7lt3OU09vwQwhkpOPPYv2Y/edit?usp=sharing"",""งบพรบ!DA56"")"),0)</f>
        <v>0</v>
      </c>
      <c r="N194" s="427">
        <f ca="1">IFERROR(__xludf.DUMMYFUNCTION("IMPORTRANGE(""https://docs.google.com/spreadsheets/d/1-uDff_7J0KD5mKrp0Vvzr7lt3OU09vwQwhkpOPPYv2Y/edit?usp=sharing"",""งบพรบ!DC56"")"),0)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IFERROR(__xludf.DUMMYFUNCTION("IMPORTRANGE(""https://docs.google.com/spreadsheets/d/1eHaY18a8A9IcSdp1K8H6x8fbOy06t2VsZHhMHf-1x7Y/edit?usp=sharing"",""แผน!AB56"")"),6000)</f>
        <v>6000</v>
      </c>
      <c r="M196" s="430"/>
      <c r="N196" s="849">
        <f>240+500</f>
        <v>740</v>
      </c>
      <c r="O196" s="737">
        <f ca="1">IF(L196&gt;0,N196*100/L196,0)</f>
        <v>12.333333333333334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IFERROR(__xludf.DUMMYFUNCTION("IMPORTRANGE(""https://docs.google.com/spreadsheets/d/1eHaY18a8A9IcSdp1K8H6x8fbOy06t2VsZHhMHf-1x7Y/edit?usp=sharing"",""แผน!AE56"")"),4)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29000</v>
      </c>
      <c r="M203" s="430"/>
      <c r="N203" s="737">
        <f>N204+N205+N206+N207</f>
        <v>13402</v>
      </c>
      <c r="O203" s="737">
        <f ca="1">IF(L203&gt;0,N203*100/L203,0)</f>
        <v>46.213793103448275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IFERROR(__xludf.DUMMYFUNCTION("IMPORTRANGE(""https://docs.google.com/spreadsheets/d/1eHaY18a8A9IcSdp1K8H6x8fbOy06t2VsZHhMHf-1x7Y/edit?usp=sharing"",""แผน!AG56"")"),2000)</f>
        <v>2000</v>
      </c>
      <c r="M204" s="430"/>
      <c r="N204" s="840">
        <v>1240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IFERROR(__xludf.DUMMYFUNCTION("IMPORTRANGE(""https://docs.google.com/spreadsheets/d/1eHaY18a8A9IcSdp1K8H6x8fbOy06t2VsZHhMHf-1x7Y/edit?usp=sharing"",""แผน!AH56"")"),0)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IFERROR(__xludf.DUMMYFUNCTION("IMPORTRANGE(""https://docs.google.com/spreadsheets/d/1eHaY18a8A9IcSdp1K8H6x8fbOy06t2VsZHhMHf-1x7Y/edit?usp=sharing"",""แผน!AI56"")"),16000)</f>
        <v>16000</v>
      </c>
      <c r="M206" s="430"/>
      <c r="N206" s="840">
        <v>12162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IFERROR(__xludf.DUMMYFUNCTION("IMPORTRANGE(""https://docs.google.com/spreadsheets/d/1eHaY18a8A9IcSdp1K8H6x8fbOy06t2VsZHhMHf-1x7Y/edit?usp=sharing"",""แผน!AJ56"")"),11000)</f>
        <v>11000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IFERROR(__xludf.DUMMYFUNCTION("IMPORTRANGE(""https://docs.google.com/spreadsheets/d/1eHaY18a8A9IcSdp1K8H6x8fbOy06t2VsZHhMHf-1x7Y/edit?usp=sharing"",""แผน!AK56"")"),2)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IFERROR(__xludf.DUMMYFUNCTION("IMPORTRANGE(""https://docs.google.com/spreadsheets/d/1eHaY18a8A9IcSdp1K8H6x8fbOy06t2VsZHhMHf-1x7Y/edit?usp=sharing"",""แผน!JX56"")"),2)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IFERROR(__xludf.DUMMYFUNCTION("IMPORTRANGE(""https://docs.google.com/spreadsheets/d/1eHaY18a8A9IcSdp1K8H6x8fbOy06t2VsZHhMHf-1x7Y/edit?usp=sharing"",""แผน!JY56"")"),1)</f>
        <v>1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IFERROR(__xludf.DUMMYFUNCTION("IMPORTRANGE(""https://docs.google.com/spreadsheets/d/1eHaY18a8A9IcSdp1K8H6x8fbOy06t2VsZHhMHf-1x7Y/edit?usp=sharing"",""แผน!AM56"")"),0)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IFERROR(__xludf.DUMMYFUNCTION("IMPORTRANGE(""https://docs.google.com/spreadsheets/d/1eHaY18a8A9IcSdp1K8H6x8fbOy06t2VsZHhMHf-1x7Y/edit?usp=sharing"",""แผน!AN56"")"),0)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IFERROR(__xludf.DUMMYFUNCTION("IMPORTRANGE(""https://docs.google.com/spreadsheets/d/1eHaY18a8A9IcSdp1K8H6x8fbOy06t2VsZHhMHf-1x7Y/edit?usp=sharing"",""แผน!AO56"")"),0)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IFERROR(__xludf.DUMMYFUNCTION("IMPORTRANGE(""https://docs.google.com/spreadsheets/d/1eHaY18a8A9IcSdp1K8H6x8fbOy06t2VsZHhMHf-1x7Y/edit?usp=sharing"",""แผน!AP56"")"),0)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IFERROR(__xludf.DUMMYFUNCTION("IMPORTRANGE(""https://docs.google.com/spreadsheets/d/1eHaY18a8A9IcSdp1K8H6x8fbOy06t2VsZHhMHf-1x7Y/edit?usp=sharing"",""แผน!AP56"")"),0)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5000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IFERROR(__xludf.DUMMYFUNCTION("IMPORTRANGE(""https://docs.google.com/spreadsheets/d/1eHaY18a8A9IcSdp1K8H6x8fbOy06t2VsZHhMHf-1x7Y/edit?usp=sharing"",""แผน!AR56"")"),3000)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IFERROR(__xludf.DUMMYFUNCTION("IMPORTRANGE(""https://docs.google.com/spreadsheets/d/1eHaY18a8A9IcSdp1K8H6x8fbOy06t2VsZHhMHf-1x7Y/edit?usp=sharing"",""แผน!AS56"")"),1500)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IFERROR(__xludf.DUMMYFUNCTION("IMPORTRANGE(""https://docs.google.com/spreadsheets/d/1eHaY18a8A9IcSdp1K8H6x8fbOy06t2VsZHhMHf-1x7Y/edit?usp=sharing"",""แผน!AT56"")"),0)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IFERROR(__xludf.DUMMYFUNCTION("IMPORTRANGE(""https://docs.google.com/spreadsheets/d/1eHaY18a8A9IcSdp1K8H6x8fbOy06t2VsZHhMHf-1x7Y/edit?usp=sharing"",""แผน!AV56"")"),5000)</f>
        <v>5000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IFERROR(__xludf.DUMMYFUNCTION("IMPORTRANGE(""https://docs.google.com/spreadsheets/d/1eHaY18a8A9IcSdp1K8H6x8fbOy06t2VsZHhMHf-1x7Y/edit?usp=sharing"",""แผน!AV56"")"),5000)</f>
        <v>5000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IFERROR(__xludf.DUMMYFUNCTION("IMPORTRANGE(""https://docs.google.com/spreadsheets/d/1eHaY18a8A9IcSdp1K8H6x8fbOy06t2VsZHhMHf-1x7Y/edit?usp=sharing"",""แผน!AU56"")"),0)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20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41600</v>
      </c>
      <c r="M232" s="521"/>
      <c r="N232" s="545">
        <f>N243+N254</f>
        <v>20483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3443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4440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12600</v>
      </c>
      <c r="M235" s="521"/>
      <c r="N235" s="522">
        <f>N246+N257</f>
        <v>12600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19000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20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20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160</v>
      </c>
      <c r="D242" s="284"/>
      <c r="E242" s="284"/>
      <c r="F242" s="284"/>
      <c r="G242" s="285"/>
      <c r="H242" s="286" t="s">
        <v>33</v>
      </c>
      <c r="I242" s="287">
        <f ca="1">I249</f>
        <v>20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41600</v>
      </c>
      <c r="M243" s="58"/>
      <c r="N243" s="161">
        <f>N244+N245+N246+N247</f>
        <v>20483</v>
      </c>
      <c r="O243" s="161">
        <f ca="1">IF(L243&gt;0,N243*100/L243,0)</f>
        <v>49.237980769230766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IFERROR(__xludf.DUMMYFUNCTION("IMPORTRANGE(""https://docs.google.com/spreadsheets/d/1eHaY18a8A9IcSdp1K8H6x8fbOy06t2VsZHhMHf-1x7Y/edit?usp=sharing"",""แผน!AX56"")"),8000)</f>
        <v>8000</v>
      </c>
      <c r="M244" s="58"/>
      <c r="N244" s="620">
        <v>3443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IFERROR(__xludf.DUMMYFUNCTION("IMPORTRANGE(""https://docs.google.com/spreadsheets/d/1eHaY18a8A9IcSdp1K8H6x8fbOy06t2VsZHhMHf-1x7Y/edit?usp=sharing"",""แผน!AY56"")"),2000)</f>
        <v>2000</v>
      </c>
      <c r="M245" s="58"/>
      <c r="N245" s="620">
        <f>2000+1700+740</f>
        <v>4440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IFERROR(__xludf.DUMMYFUNCTION("IMPORTRANGE(""https://docs.google.com/spreadsheets/d/1eHaY18a8A9IcSdp1K8H6x8fbOy06t2VsZHhMHf-1x7Y/edit?usp=sharing"",""แผน!AZ56"")"),12600)</f>
        <v>12600</v>
      </c>
      <c r="M246" s="58"/>
      <c r="N246" s="620">
        <v>12600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IFERROR(__xludf.DUMMYFUNCTION("IMPORTRANGE(""https://docs.google.com/spreadsheets/d/1eHaY18a8A9IcSdp1K8H6x8fbOy06t2VsZHhMHf-1x7Y/edit?usp=sharing"",""แผน!BA56"")"),19000)</f>
        <v>19000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IFERROR(__xludf.DUMMYFUNCTION("IMPORTRANGE(""https://docs.google.com/spreadsheets/d/1eHaY18a8A9IcSdp1K8H6x8fbOy06t2VsZHhMHf-1x7Y/edit?usp=sharing"",""แผน!BG56"")"),20)</f>
        <v>20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IFERROR(__xludf.DUMMYFUNCTION("IMPORTRANGE(""https://docs.google.com/spreadsheets/d/1eHaY18a8A9IcSdp1K8H6x8fbOy06t2VsZHhMHf-1x7Y/edit?usp=sharing"",""แผน!KD56"")"),20)</f>
        <v>20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IFERROR(__xludf.DUMMYFUNCTION("IMPORTRANGE(""https://docs.google.com/spreadsheets/d/1eHaY18a8A9IcSdp1K8H6x8fbOy06t2VsZHhMHf-1x7Y/edit?usp=sharing"",""แผน!KE56"")"),1)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IFERROR(__xludf.DUMMYFUNCTION("IMPORTRANGE(""https://docs.google.com/spreadsheets/d/1eHaY18a8A9IcSdp1K8H6x8fbOy06t2VsZHhMHf-1x7Y/edit?usp=sharing"",""แผน!BB56"")"),0)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IFERROR(__xludf.DUMMYFUNCTION("IMPORTRANGE(""https://docs.google.com/spreadsheets/d/1eHaY18a8A9IcSdp1K8H6x8fbOy06t2VsZHhMHf-1x7Y/edit?usp=sharing"",""แผน!BC56"")"),0)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IFERROR(__xludf.DUMMYFUNCTION("IMPORTRANGE(""https://docs.google.com/spreadsheets/d/1eHaY18a8A9IcSdp1K8H6x8fbOy06t2VsZHhMHf-1x7Y/edit?usp=sharing"",""แผน!BD56"")"),0)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IFERROR(__xludf.DUMMYFUNCTION("IMPORTRANGE(""https://docs.google.com/spreadsheets/d/1eHaY18a8A9IcSdp1K8H6x8fbOy06t2VsZHhMHf-1x7Y/edit?usp=sharing"",""แผน!BE56"")"),0)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IFERROR(__xludf.DUMMYFUNCTION("IMPORTRANGE(""https://docs.google.com/spreadsheets/d/1eHaY18a8A9IcSdp1K8H6x8fbOy06t2VsZHhMHf-1x7Y/edit?usp=sharing"",""แผน!BH56"")"),0)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IFERROR(__xludf.DUMMYFUNCTION("IMPORTRANGE(""https://docs.google.com/spreadsheets/d/1-uDff_7J0KD5mKrp0Vvzr7lt3OU09vwQwhkpOPPYv2Y/edit?usp=sharing"",""งบพรบ!DE56"")"),0)</f>
        <v>0</v>
      </c>
      <c r="M271" s="522">
        <f ca="1">IFERROR(__xludf.DUMMYFUNCTION("IMPORTRANGE(""https://docs.google.com/spreadsheets/d/1-uDff_7J0KD5mKrp0Vvzr7lt3OU09vwQwhkpOPPYv2Y/edit?usp=sharing"",""งบพรบ!DJ56"")"),0)</f>
        <v>0</v>
      </c>
      <c r="N271" s="522">
        <f ca="1">IFERROR(__xludf.DUMMYFUNCTION("IMPORTRANGE(""https://docs.google.com/spreadsheets/d/1-uDff_7J0KD5mKrp0Vvzr7lt3OU09vwQwhkpOPPYv2Y/edit?usp=sharing"",""งบพรบ!DL56"")"),0)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IFERROR(__xludf.DUMMYFUNCTION("IMPORTRANGE(""https://docs.google.com/spreadsheets/d/1-uDff_7J0KD5mKrp0Vvzr7lt3OU09vwQwhkpOPPYv2Y/edit?usp=sharing"",""งบพรบ!DH56"")"),0)</f>
        <v>0</v>
      </c>
      <c r="M274" s="522">
        <f ca="1">IFERROR(__xludf.DUMMYFUNCTION("IMPORTRANGE(""https://docs.google.com/spreadsheets/d/1-uDff_7J0KD5mKrp0Vvzr7lt3OU09vwQwhkpOPPYv2Y/edit?usp=sharing"",""งบพรบ!DK56"")"),0)</f>
        <v>0</v>
      </c>
      <c r="N274" s="522">
        <f ca="1">IFERROR(__xludf.DUMMYFUNCTION("IMPORTRANGE(""https://docs.google.com/spreadsheets/d/1-uDff_7J0KD5mKrp0Vvzr7lt3OU09vwQwhkpOPPYv2Y/edit?usp=sharing"",""งบพรบ!DM56"")"),0)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IFERROR(__xludf.DUMMYFUNCTION("IMPORTRANGE(""https://docs.google.com/spreadsheets/d/1-uDff_7J0KD5mKrp0Vvzr7lt3OU09vwQwhkpOPPYv2Y/edit?usp=sharing"",""งบพรบ!DO56"")"),0)</f>
        <v>0</v>
      </c>
      <c r="M287" s="427">
        <f ca="1">IFERROR(__xludf.DUMMYFUNCTION("IMPORTRANGE(""https://docs.google.com/spreadsheets/d/1-uDff_7J0KD5mKrp0Vvzr7lt3OU09vwQwhkpOPPYv2Y/edit?usp=sharing"",""งบพรบ!DT56"")"),0)</f>
        <v>0</v>
      </c>
      <c r="N287" s="427">
        <f ca="1">IFERROR(__xludf.DUMMYFUNCTION("IMPORTRANGE(""https://docs.google.com/spreadsheets/d/1-uDff_7J0KD5mKrp0Vvzr7lt3OU09vwQwhkpOPPYv2Y/edit?usp=sharing"",""งบพรบ!DV56"")"),0)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IFERROR(__xludf.DUMMYFUNCTION("IMPORTRANGE(""https://docs.google.com/spreadsheets/d/1-uDff_7J0KD5mKrp0Vvzr7lt3OU09vwQwhkpOPPYv2Y/edit?usp=sharing"",""งบพรบ!DR56"")"),0)</f>
        <v>0</v>
      </c>
      <c r="M290" s="427">
        <f ca="1">IFERROR(__xludf.DUMMYFUNCTION("IMPORTRANGE(""https://docs.google.com/spreadsheets/d/1-uDff_7J0KD5mKrp0Vvzr7lt3OU09vwQwhkpOPPYv2Y/edit?usp=sharing"",""งบพรบ!DU56"")"),0)</f>
        <v>0</v>
      </c>
      <c r="N290" s="427">
        <f ca="1">IFERROR(__xludf.DUMMYFUNCTION("IMPORTRANGE(""https://docs.google.com/spreadsheets/d/1-uDff_7J0KD5mKrp0Vvzr7lt3OU09vwQwhkpOPPYv2Y/edit?usp=sharing"",""งบพรบ!DW56"")"),0)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IFERROR(__xludf.DUMMYFUNCTION("IMPORTRANGE(""https://docs.google.com/spreadsheets/d/1eHaY18a8A9IcSdp1K8H6x8fbOy06t2VsZHhMHf-1x7Y/edit?usp=sharing"",""แผน!EE56"")"),0)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IFERROR(__xludf.DUMMYFUNCTION("IMPORTRANGE(""https://docs.google.com/spreadsheets/d/1eHaY18a8A9IcSdp1K8H6x8fbOy06t2VsZHhMHf-1x7Y/edit?usp=sharing"",""แผน!ED56"")"),0)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IFERROR(__xludf.DUMMYFUNCTION("IMPORTRANGE(""https://docs.google.com/spreadsheets/d/1eHaY18a8A9IcSdp1K8H6x8fbOy06t2VsZHhMHf-1x7Y/edit?usp=sharing"",""แผน!ED56"")"),0)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IFERROR(__xludf.DUMMYFUNCTION("IMPORTRANGE(""https://docs.google.com/spreadsheets/d/1eHaY18a8A9IcSdp1K8H6x8fbOy06t2VsZHhMHf-1x7Y/edit?usp=sharing"",""แผน!ED56"")"),0)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IFERROR(__xludf.DUMMYFUNCTION("IMPORTRANGE(""https://docs.google.com/spreadsheets/d/1-uDff_7J0KD5mKrp0Vvzr7lt3OU09vwQwhkpOPPYv2Y/edit?usp=sharing"",""งบพรบ!DY56"")"),0)</f>
        <v>0</v>
      </c>
      <c r="M308" s="427">
        <f ca="1">IFERROR(__xludf.DUMMYFUNCTION("IMPORTRANGE(""https://docs.google.com/spreadsheets/d/1-uDff_7J0KD5mKrp0Vvzr7lt3OU09vwQwhkpOPPYv2Y/edit?usp=sharing"",""งบพรบ!ED56"")"),0)</f>
        <v>0</v>
      </c>
      <c r="N308" s="427">
        <f ca="1">IFERROR(__xludf.DUMMYFUNCTION("IMPORTRANGE(""https://docs.google.com/spreadsheets/d/1-uDff_7J0KD5mKrp0Vvzr7lt3OU09vwQwhkpOPPYv2Y/edit?usp=sharing"",""งบพรบ!EF56"")"),0)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IFERROR(__xludf.DUMMYFUNCTION("IMPORTRANGE(""https://docs.google.com/spreadsheets/d/1-uDff_7J0KD5mKrp0Vvzr7lt3OU09vwQwhkpOPPYv2Y/edit?usp=sharing"",""งบพรบ!EB56"")"),0)</f>
        <v>0</v>
      </c>
      <c r="M311" s="427">
        <f ca="1">IFERROR(__xludf.DUMMYFUNCTION("IMPORTRANGE(""https://docs.google.com/spreadsheets/d/1-uDff_7J0KD5mKrp0Vvzr7lt3OU09vwQwhkpOPPYv2Y/edit?usp=sharing"",""งบพรบ!EE56"")"),0)</f>
        <v>0</v>
      </c>
      <c r="N311" s="427">
        <f ca="1">IFERROR(__xludf.DUMMYFUNCTION("IMPORTRANGE(""https://docs.google.com/spreadsheets/d/1-uDff_7J0KD5mKrp0Vvzr7lt3OU09vwQwhkpOPPYv2Y/edit?usp=sharing"",""งบพรบ!EG56"")"),0)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IFERROR(__xludf.DUMMYFUNCTION("IMPORTRANGE(""https://docs.google.com/spreadsheets/d/1eHaY18a8A9IcSdp1K8H6x8fbOy06t2VsZHhMHf-1x7Y/edit?usp=sharing"",""แผน!EF56"")"),0)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IFERROR(__xludf.DUMMYFUNCTION("IMPORTRANGE(""https://docs.google.com/spreadsheets/d/1eHaY18a8A9IcSdp1K8H6x8fbOy06t2VsZHhMHf-1x7Y/edit?usp=sharing"",""แผน!EG56"")"),0)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IFERROR(__xludf.DUMMYFUNCTION("IMPORTRANGE(""https://docs.google.com/spreadsheets/d/1eHaY18a8A9IcSdp1K8H6x8fbOy06t2VsZHhMHf-1x7Y/edit?usp=sharing"",""แผน!EH56"")"),0)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IFERROR(__xludf.DUMMYFUNCTION("IMPORTRANGE(""https://docs.google.com/spreadsheets/d/1eHaY18a8A9IcSdp1K8H6x8fbOy06t2VsZHhMHf-1x7Y/edit?usp=sharing"",""แผน!EI56"")"),0)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1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30000</v>
      </c>
      <c r="M320" s="737">
        <f ca="1">M321+M322</f>
        <v>30000</v>
      </c>
      <c r="N320" s="737">
        <f ca="1">N321+N322</f>
        <v>3000</v>
      </c>
      <c r="O320" s="737">
        <f ca="1">IF(L320&gt;0,N320*100/L320,0)</f>
        <v>10</v>
      </c>
      <c r="P320" s="737">
        <f ca="1">IF(M320&gt;0,N320*100/M320,0)</f>
        <v>10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30000</v>
      </c>
      <c r="M322" s="427">
        <f ca="1">M325+M328</f>
        <v>30000</v>
      </c>
      <c r="N322" s="427">
        <f ca="1">N325+N328</f>
        <v>3000</v>
      </c>
      <c r="O322" s="427">
        <f ca="1">IF(L322&gt;0,N322*100/L322,0)</f>
        <v>10</v>
      </c>
      <c r="P322" s="427">
        <f ca="1">IF(M322&gt;0,N322*100/M322,0)</f>
        <v>10</v>
      </c>
    </row>
    <row r="323" spans="1:16" ht="18.75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30000</v>
      </c>
      <c r="M323" s="427">
        <f ca="1">M324+M325</f>
        <v>30000</v>
      </c>
      <c r="N323" s="427">
        <f ca="1">N324+N325</f>
        <v>3000</v>
      </c>
      <c r="O323" s="427">
        <f ca="1">IF(L323&gt;0,N323*100/L323,0)</f>
        <v>10</v>
      </c>
      <c r="P323" s="427">
        <f ca="1">IF(M323&gt;0,N323*100/M323,0)</f>
        <v>10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IFERROR(__xludf.DUMMYFUNCTION("IMPORTRANGE(""https://docs.google.com/spreadsheets/d/1-uDff_7J0KD5mKrp0Vvzr7lt3OU09vwQwhkpOPPYv2Y/edit?usp=sharing"",""งบพรบ!EI56"")"),30000)</f>
        <v>30000</v>
      </c>
      <c r="M325" s="427">
        <f ca="1">IFERROR(__xludf.DUMMYFUNCTION("IMPORTRANGE(""https://docs.google.com/spreadsheets/d/1-uDff_7J0KD5mKrp0Vvzr7lt3OU09vwQwhkpOPPYv2Y/edit?usp=sharing"",""งบพรบ!EN56"")"),30000)</f>
        <v>30000</v>
      </c>
      <c r="N325" s="427">
        <f ca="1">IFERROR(__xludf.DUMMYFUNCTION("IMPORTRANGE(""https://docs.google.com/spreadsheets/d/1-uDff_7J0KD5mKrp0Vvzr7lt3OU09vwQwhkpOPPYv2Y/edit?usp=sharing"",""งบพรบ!EP56"")"),3000)</f>
        <v>3000</v>
      </c>
      <c r="O325" s="427">
        <f ca="1">IF(L325&gt;0,N325*100/L325,0)</f>
        <v>10</v>
      </c>
      <c r="P325" s="427">
        <f ca="1">IF(M325&gt;0,N325*100/M325,0)</f>
        <v>10</v>
      </c>
    </row>
    <row r="326" spans="1:16" ht="18.75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IFERROR(__xludf.DUMMYFUNCTION("IMPORTRANGE(""https://docs.google.com/spreadsheets/d/1-uDff_7J0KD5mKrp0Vvzr7lt3OU09vwQwhkpOPPYv2Y/edit?usp=sharing"",""งบพรบ!EL56"")"),0)</f>
        <v>0</v>
      </c>
      <c r="M328" s="427">
        <f ca="1">IFERROR(__xludf.DUMMYFUNCTION("IMPORTRANGE(""https://docs.google.com/spreadsheets/d/1-uDff_7J0KD5mKrp0Vvzr7lt3OU09vwQwhkpOPPYv2Y/edit?usp=sharing"",""งบพรบ!EO56"")"),0)</f>
        <v>0</v>
      </c>
      <c r="N328" s="427">
        <f ca="1">IFERROR(__xludf.DUMMYFUNCTION("IMPORTRANGE(""https://docs.google.com/spreadsheets/d/1-uDff_7J0KD5mKrp0Vvzr7lt3OU09vwQwhkpOPPYv2Y/edit?usp=sharing"",""งบพรบ!EQ56"")"),0)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IFERROR(__xludf.DUMMYFUNCTION("IMPORTRANGE(""https://docs.google.com/spreadsheets/d/1eHaY18a8A9IcSdp1K8H6x8fbOy06t2VsZHhMHf-1x7Y/edit?usp=sharing"",""แผน!EJ56"")"),1)</f>
        <v>1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940</v>
      </c>
      <c r="J332" s="404">
        <f ca="1">J344+J347+J348+J349+J353</f>
        <v>2359</v>
      </c>
      <c r="K332" s="405">
        <f ca="1">IF(I332&gt;0,J332*100/I332,0)</f>
        <v>250.95744680851064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106000</v>
      </c>
      <c r="M333" s="737">
        <f ca="1">M334+M335</f>
        <v>85750</v>
      </c>
      <c r="N333" s="737">
        <f ca="1">N334+N335</f>
        <v>31000.2</v>
      </c>
      <c r="O333" s="737">
        <f ca="1">IF(L333&gt;0,N333*100/L333,0)</f>
        <v>29.245471698113207</v>
      </c>
      <c r="P333" s="737">
        <f ca="1">IF(M333&gt;0,N333*100/M333,0)</f>
        <v>36.15183673469388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106000</v>
      </c>
      <c r="M335" s="427">
        <f ca="1">M338+M341</f>
        <v>85750</v>
      </c>
      <c r="N335" s="427">
        <f ca="1">N338+N341</f>
        <v>31000.2</v>
      </c>
      <c r="O335" s="427">
        <f ca="1">IF(L335&gt;0,N335*100/L335,0)</f>
        <v>29.245471698113207</v>
      </c>
      <c r="P335" s="427">
        <f ca="1">IF(M335&gt;0,N335*100/M335,0)</f>
        <v>36.15183673469388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106000</v>
      </c>
      <c r="M336" s="427">
        <f ca="1">M337+M338</f>
        <v>85750</v>
      </c>
      <c r="N336" s="427">
        <f ca="1">N337+N338</f>
        <v>31000.2</v>
      </c>
      <c r="O336" s="427">
        <f ca="1">IF(L336&gt;0,N336*100/L336,0)</f>
        <v>29.245471698113207</v>
      </c>
      <c r="P336" s="427">
        <f ca="1">IF(M336&gt;0,N336*100/M336,0)</f>
        <v>36.15183673469388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IFERROR(__xludf.DUMMYFUNCTION("IMPORTRANGE(""https://docs.google.com/spreadsheets/d/1-uDff_7J0KD5mKrp0Vvzr7lt3OU09vwQwhkpOPPYv2Y/edit?usp=sharing"",""งบพรบ!ES56"")"),106000)</f>
        <v>106000</v>
      </c>
      <c r="M338" s="427">
        <f ca="1">IFERROR(__xludf.DUMMYFUNCTION("IMPORTRANGE(""https://docs.google.com/spreadsheets/d/1-uDff_7J0KD5mKrp0Vvzr7lt3OU09vwQwhkpOPPYv2Y/edit?usp=sharing"",""งบพรบ!EX56"")"),85750)</f>
        <v>85750</v>
      </c>
      <c r="N338" s="427">
        <f ca="1">IFERROR(__xludf.DUMMYFUNCTION("IMPORTRANGE(""https://docs.google.com/spreadsheets/d/1-uDff_7J0KD5mKrp0Vvzr7lt3OU09vwQwhkpOPPYv2Y/edit?usp=sharing"",""งบพรบ!EZ56"")"),31000.2)</f>
        <v>31000.2</v>
      </c>
      <c r="O338" s="427">
        <f ca="1">IF(L338&gt;0,N338*100/L338,0)</f>
        <v>29.245471698113207</v>
      </c>
      <c r="P338" s="427">
        <f ca="1">IF(M338&gt;0,N338*100/M338,0)</f>
        <v>36.15183673469388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IFERROR(__xludf.DUMMYFUNCTION("IMPORTRANGE(""https://docs.google.com/spreadsheets/d/1-uDff_7J0KD5mKrp0Vvzr7lt3OU09vwQwhkpOPPYv2Y/edit?usp=sharing"",""งบพรบ!EV56"")"),0)</f>
        <v>0</v>
      </c>
      <c r="M341" s="427">
        <f ca="1">IFERROR(__xludf.DUMMYFUNCTION("IMPORTRANGE(""https://docs.google.com/spreadsheets/d/1-uDff_7J0KD5mKrp0Vvzr7lt3OU09vwQwhkpOPPYv2Y/edit?usp=sharing"",""งบพรบ!EY56"")"),0)</f>
        <v>0</v>
      </c>
      <c r="N341" s="427">
        <f ca="1">IFERROR(__xludf.DUMMYFUNCTION("IMPORTRANGE(""https://docs.google.com/spreadsheets/d/1-uDff_7J0KD5mKrp0Vvzr7lt3OU09vwQwhkpOPPYv2Y/edit?usp=sharing"",""งบพรบ!FA56"")"),0)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312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IFERROR(__xludf.DUMMYFUNCTION("IMPORTRANGE(""https://docs.google.com/spreadsheets/d/1eHaY18a8A9IcSdp1K8H6x8fbOy06t2VsZHhMHf-1x7Y/edit?usp=sharing"",""แผน!EK56"")"),940)</f>
        <v>940</v>
      </c>
      <c r="J344" s="426">
        <f ca="1">IFERROR(__xludf.DUMMYFUNCTION("IMPORTRANGE(""https://docs.google.com/spreadsheets/d/1awYsYK3VOup2i3Pq_Yjnu8DRu_mYwSBnCR2QPthd0rU/edit?usp=sharing"",""ศูนย์ยกเว้นโฉนด!D56"")"),303)</f>
        <v>303</v>
      </c>
      <c r="K344" s="427">
        <f ca="1">IF(I344&gt;0,J344*100/I344,0)</f>
        <v>32.234042553191486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IFERROR(__xludf.DUMMYFUNCTION("IMPORTRANGE(""https://docs.google.com/spreadsheets/d/1eHaY18a8A9IcSdp1K8H6x8fbOy06t2VsZHhMHf-1x7Y/edit?usp=sharing"",""แผน!EL56"")"),3)</f>
        <v>3</v>
      </c>
      <c r="J346" s="426">
        <f ca="1">IFERROR(__xludf.DUMMYFUNCTION("IMPORTRANGE(""https://docs.google.com/spreadsheets/d/1awYsYK3VOup2i3Pq_Yjnu8DRu_mYwSBnCR2QPthd0rU/edit?usp=sharing"",""ศูนย์รวม!E56"")"),3)</f>
        <v>3</v>
      </c>
      <c r="K346" s="427">
        <f ca="1">IF(I346&gt;0,J346*100/I346,0)</f>
        <v>100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IFERROR(__xludf.DUMMYFUNCTION("IMPORTRANGE(""https://docs.google.com/spreadsheets/d/1awYsYK3VOup2i3Pq_Yjnu8DRu_mYwSBnCR2QPthd0rU/edit?usp=sharing"",""ศูนย์ยกเว้นโฉนด!F56"")"),0)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IFERROR(__xludf.DUMMYFUNCTION("IMPORTRANGE(""https://docs.google.com/spreadsheets/d/1awYsYK3VOup2i3Pq_Yjnu8DRu_mYwSBnCR2QPthd0rU/edit?usp=sharing"",""ศูนย์ยกเว้นโฉนด!G56"")"),9)</f>
        <v>9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IFERROR(__xludf.DUMMYFUNCTION("IMPORTRANGE(""https://docs.google.com/spreadsheets/d/1awYsYK3VOup2i3Pq_Yjnu8DRu_mYwSBnCR2QPthd0rU/edit?usp=sharing"",""ศูนย์ยกเว้นโฉนด!H56"")"),0)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2668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IFERROR(__xludf.DUMMYFUNCTION("IMPORTRANGE(""https://docs.google.com/spreadsheets/d/1awYsYK3VOup2i3Pq_Yjnu8DRu_mYwSBnCR2QPthd0rU/edit?usp=sharing"",""โฉนดM3!G56"")"),621)</f>
        <v>621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IFERROR(__xludf.DUMMYFUNCTION("IMPORTRANGE(""https://docs.google.com/spreadsheets/d/1awYsYK3VOup2i3Pq_Yjnu8DRu_mYwSBnCR2QPthd0rU/edit?usp=sharing"",""โฉนดM3!H56"")"),2047)</f>
        <v>2047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601325</v>
      </c>
      <c r="M356" s="737">
        <f ca="1">M357+M358</f>
        <v>477725</v>
      </c>
      <c r="N356" s="737">
        <f ca="1">N357+N358</f>
        <v>95862.55</v>
      </c>
      <c r="O356" s="737">
        <f ca="1">IF(L356&gt;0,N356*100/L356,0)</f>
        <v>15.941886666943832</v>
      </c>
      <c r="P356" s="737">
        <f ca="1">IF(M356&gt;0,N356*100/M356,0)</f>
        <v>20.06647129624784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601325</v>
      </c>
      <c r="M358" s="427">
        <f ca="1">M361+M364</f>
        <v>477725</v>
      </c>
      <c r="N358" s="427">
        <f ca="1">N361+N364</f>
        <v>95862.55</v>
      </c>
      <c r="O358" s="427">
        <f ca="1">IF(L358&gt;0,N358*100/L358,0)</f>
        <v>15.941886666943832</v>
      </c>
      <c r="P358" s="427">
        <f ca="1">IF(M358&gt;0,N358*100/M358,0)</f>
        <v>20.06647129624784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601325</v>
      </c>
      <c r="M359" s="427">
        <f ca="1">M360+M361</f>
        <v>477725</v>
      </c>
      <c r="N359" s="427">
        <f ca="1">N360+N361</f>
        <v>95862.55</v>
      </c>
      <c r="O359" s="427">
        <f ca="1">IF(L359&gt;0,N359*100/L359,0)</f>
        <v>15.941886666943832</v>
      </c>
      <c r="P359" s="427">
        <f ca="1">IF(M359&gt;0,N359*100/M359,0)</f>
        <v>20.06647129624784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IFERROR(__xludf.DUMMYFUNCTION("IMPORTRANGE(""https://docs.google.com/spreadsheets/d/1-uDff_7J0KD5mKrp0Vvzr7lt3OU09vwQwhkpOPPYv2Y/edit?usp=sharing"",""งบพรบ!FC56"")"),601325)</f>
        <v>601325</v>
      </c>
      <c r="M361" s="427">
        <f ca="1">IFERROR(__xludf.DUMMYFUNCTION("IMPORTRANGE(""https://docs.google.com/spreadsheets/d/1-uDff_7J0KD5mKrp0Vvzr7lt3OU09vwQwhkpOPPYv2Y/edit?usp=sharing"",""งบพรบ!FH56"")"),477725)</f>
        <v>477725</v>
      </c>
      <c r="N361" s="427">
        <f ca="1">IFERROR(__xludf.DUMMYFUNCTION("IMPORTRANGE(""https://docs.google.com/spreadsheets/d/1-uDff_7J0KD5mKrp0Vvzr7lt3OU09vwQwhkpOPPYv2Y/edit?usp=sharing"",""งบพรบ!FJ56"")"),95862.55)</f>
        <v>95862.55</v>
      </c>
      <c r="O361" s="427">
        <f ca="1">IF(L361&gt;0,N361*100/L361,0)</f>
        <v>15.941886666943832</v>
      </c>
      <c r="P361" s="427">
        <f ca="1">IF(M361&gt;0,N361*100/M361,0)</f>
        <v>20.06647129624784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IFERROR(__xludf.DUMMYFUNCTION("IMPORTRANGE(""https://docs.google.com/spreadsheets/d/1-uDff_7J0KD5mKrp0Vvzr7lt3OU09vwQwhkpOPPYv2Y/edit?usp=sharing"",""งบพรบ!FF56"")"),0)</f>
        <v>0</v>
      </c>
      <c r="M364" s="427">
        <f ca="1">IFERROR(__xludf.DUMMYFUNCTION("IMPORTRANGE(""https://docs.google.com/spreadsheets/d/1-uDff_7J0KD5mKrp0Vvzr7lt3OU09vwQwhkpOPPYv2Y/edit?usp=sharing"",""งบพรบ!FI56"")"),0)</f>
        <v>0</v>
      </c>
      <c r="N364" s="427">
        <f ca="1">IFERROR(__xludf.DUMMYFUNCTION("IMPORTRANGE(""https://docs.google.com/spreadsheets/d/1-uDff_7J0KD5mKrp0Vvzr7lt3OU09vwQwhkpOPPYv2Y/edit?usp=sharing"",""งบพรบ!FK56"")"),0)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133</v>
      </c>
      <c r="J365" s="440">
        <f ca="1">J371</f>
        <v>72</v>
      </c>
      <c r="K365" s="441">
        <f ca="1">IF(I365&gt;0,J365*100/I365,0)</f>
        <v>54.13533834586466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IFERROR(__xludf.DUMMYFUNCTION("IMPORTRANGE(""https://docs.google.com/spreadsheets/d/1tdoBKaGub7dwA3U6UFTqxio9LNnvDCQjHKmttSEBsFQ/edit?usp=sharing"",""จัดที่ดิน!AB56"")"),73)</f>
        <v>73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IFERROR(__xludf.DUMMYFUNCTION("IMPORTRANGE(""https://docs.google.com/spreadsheets/d/1eHaY18a8A9IcSdp1K8H6x8fbOy06t2VsZHhMHf-1x7Y/edit?usp=sharing"",""แผน!EW56"")"),1475)</f>
        <v>1475</v>
      </c>
      <c r="J368" s="726">
        <f ca="1">IFERROR(__xludf.DUMMYFUNCTION("IMPORTRANGE(""https://docs.google.com/spreadsheets/d/1tdoBKaGub7dwA3U6UFTqxio9LNnvDCQjHKmttSEBsFQ/edit?usp=sharing"",""จัดที่ดิน!AC56"")"),977.56)</f>
        <v>977.56</v>
      </c>
      <c r="K368" s="427">
        <f ca="1">IF(I368&gt;0,J368*100/I368,0)</f>
        <v>66.275254237288138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IFERROR(__xludf.DUMMYFUNCTION("IMPORTRANGE(""https://docs.google.com/spreadsheets/d/1eHaY18a8A9IcSdp1K8H6x8fbOy06t2VsZHhMHf-1x7Y/edit?usp=sharing"",""แผน!EX56"")"),205)</f>
        <v>205</v>
      </c>
      <c r="J369" s="426">
        <f ca="1">IFERROR(__xludf.DUMMYFUNCTION("IMPORTRANGE(""https://docs.google.com/spreadsheets/d/1tdoBKaGub7dwA3U6UFTqxio9LNnvDCQjHKmttSEBsFQ/edit?usp=sharing"",""จัดที่ดิน!AD56"")"),80)</f>
        <v>80</v>
      </c>
      <c r="K369" s="427">
        <f ca="1">IF(I369&gt;0,J369*100/I369,0)</f>
        <v>39.024390243902438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IFERROR(__xludf.DUMMYFUNCTION("IMPORTRANGE(""https://docs.google.com/spreadsheets/d/1tdoBKaGub7dwA3U6UFTqxio9LNnvDCQjHKmttSEBsFQ/edit?usp=sharing"",""จัดที่ดิน!AE56"")"),1296.09)</f>
        <v>1296.0899999999999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IFERROR(__xludf.DUMMYFUNCTION("IMPORTRANGE(""https://docs.google.com/spreadsheets/d/1eHaY18a8A9IcSdp1K8H6x8fbOy06t2VsZHhMHf-1x7Y/edit?usp=sharing"",""แผน!EY56"")"),133)</f>
        <v>133</v>
      </c>
      <c r="J371" s="426">
        <f ca="1">IFERROR(__xludf.DUMMYFUNCTION("IMPORTRANGE(""https://docs.google.com/spreadsheets/d/1tdoBKaGub7dwA3U6UFTqxio9LNnvDCQjHKmttSEBsFQ/edit?usp=sharing"",""จัดที่ดิน!AF56"")"),72)</f>
        <v>72</v>
      </c>
      <c r="K371" s="427">
        <f ca="1">IF(I371&gt;0,J371*100/I371,0)</f>
        <v>54.13533834586466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IFERROR(__xludf.DUMMYFUNCTION("IMPORTRANGE(""https://docs.google.com/spreadsheets/d/1tdoBKaGub7dwA3U6UFTqxio9LNnvDCQjHKmttSEBsFQ/edit?usp=sharing"",""จัดที่ดิน!AG56"")"),1033.44)</f>
        <v>1033.44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IFERROR(__xludf.DUMMYFUNCTION("IMPORTRANGE(""https://docs.google.com/spreadsheets/d/1-uDff_7J0KD5mKrp0Vvzr7lt3OU09vwQwhkpOPPYv2Y/edit?usp=sharing"",""งบพรบ!FM56"")"),0)</f>
        <v>0</v>
      </c>
      <c r="M382" s="522">
        <f ca="1">IFERROR(__xludf.DUMMYFUNCTION("IMPORTRANGE(""https://docs.google.com/spreadsheets/d/1-uDff_7J0KD5mKrp0Vvzr7lt3OU09vwQwhkpOPPYv2Y/edit?usp=sharing"",""งบพรบ!FR56"")"),0)</f>
        <v>0</v>
      </c>
      <c r="N382" s="522">
        <f ca="1">IFERROR(__xludf.DUMMYFUNCTION("IMPORTRANGE(""https://docs.google.com/spreadsheets/d/1-uDff_7J0KD5mKrp0Vvzr7lt3OU09vwQwhkpOPPYv2Y/edit?usp=sharing"",""งบพรบ!FT56"")"),0)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IFERROR(__xludf.DUMMYFUNCTION("IMPORTRANGE(""https://docs.google.com/spreadsheets/d/1-uDff_7J0KD5mKrp0Vvzr7lt3OU09vwQwhkpOPPYv2Y/edit?usp=sharing"",""งบพรบ!FP56"")"),0)</f>
        <v>0</v>
      </c>
      <c r="M385" s="522">
        <f ca="1">IFERROR(__xludf.DUMMYFUNCTION("IMPORTRANGE(""https://docs.google.com/spreadsheets/d/1-uDff_7J0KD5mKrp0Vvzr7lt3OU09vwQwhkpOPPYv2Y/edit?usp=sharing"",""งบพรบ!FS56"")"),0)</f>
        <v>0</v>
      </c>
      <c r="N385" s="522">
        <f ca="1">IFERROR(__xludf.DUMMYFUNCTION("IMPORTRANGE(""https://docs.google.com/spreadsheets/d/1-uDff_7J0KD5mKrp0Vvzr7lt3OU09vwQwhkpOPPYv2Y/edit?usp=sharing"",""งบพรบ!FU56"")"),0)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77AA-CA60-430B-BE4E-68099B351FFD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168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1358132</v>
      </c>
      <c r="M18" s="865">
        <f ca="1">M19+M20</f>
        <v>1102275</v>
      </c>
      <c r="N18" s="865">
        <f ca="1">N19+N20</f>
        <v>512394.63</v>
      </c>
      <c r="O18" s="865">
        <f ca="1">IF(L18&gt;0,N18*100/L18,0)</f>
        <v>37.727896110245545</v>
      </c>
      <c r="P18" s="865">
        <f ca="1">IF(M18&gt;0,N18*100/M18,0)</f>
        <v>46.485190174865622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1358132</v>
      </c>
      <c r="M20" s="972">
        <f ca="1">M23+M26</f>
        <v>1102275</v>
      </c>
      <c r="N20" s="972">
        <f ca="1">N23+N26</f>
        <v>512394.63</v>
      </c>
      <c r="O20" s="972">
        <f ca="1">IF(L20&gt;0,N20*100/L20,0)</f>
        <v>37.727896110245545</v>
      </c>
      <c r="P20" s="972">
        <f ca="1">IF(M20&gt;0,N20*100/M20,0)</f>
        <v>46.485190174865622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1358132</v>
      </c>
      <c r="M21" s="427">
        <f ca="1">M22+M23</f>
        <v>1102275</v>
      </c>
      <c r="N21" s="427">
        <f ca="1">N22+N23</f>
        <v>512394.63</v>
      </c>
      <c r="O21" s="427">
        <f ca="1">IF(L21&gt;0,N21*100/L21,0)</f>
        <v>37.727896110245545</v>
      </c>
      <c r="P21" s="427">
        <f ca="1">IF(M21&gt;0,N21*100/M21,0)</f>
        <v>46.485190174865622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1358132</v>
      </c>
      <c r="M23" s="427">
        <f ca="1">M49+M64+M77+M99+M130+M144+M162+M191+M178+M271+M287+M308+M325+M338+M361+M382</f>
        <v>1102275</v>
      </c>
      <c r="N23" s="427">
        <f ca="1">N49+N64+N77+N99+N130+N144+N162+N191+N178+N271+N287+N308+N325+N338+N361+N382</f>
        <v>512394.63</v>
      </c>
      <c r="O23" s="427">
        <f ca="1">IF(L23&gt;0,N23*100/L23,0)</f>
        <v>37.727896110245545</v>
      </c>
      <c r="P23" s="427">
        <f ca="1">IF(M23&gt;0,N23*100/M23,0)</f>
        <v>46.485190174865622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1358132</v>
      </c>
      <c r="M40" s="964">
        <f ca="1">M44+M59+M72+M94+M125+M139+M157+M173+M186+M266+M282+M303+M320+M333+M356</f>
        <v>1102275</v>
      </c>
      <c r="N40" s="964">
        <f ca="1">N44+N59+N72+N94+N125+N139+N157+N173+N186+N266+N282+N303+N320+N333+N356</f>
        <v>512394.63</v>
      </c>
      <c r="O40" s="964">
        <f ca="1">IF(L40&gt;0,N40*100/L40,0)</f>
        <v>37.727896110245545</v>
      </c>
      <c r="P40" s="964">
        <f ca="1">IF(M40&gt;0,N40*100/M40,0)</f>
        <v>46.485190174865622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209157</v>
      </c>
      <c r="M44" s="949">
        <f ca="1">M45+M46</f>
        <v>213600</v>
      </c>
      <c r="N44" s="949">
        <f ca="1">N45+N46</f>
        <v>84179</v>
      </c>
      <c r="O44" s="949">
        <f ca="1">IF(L44&gt;0,N44*100/L44,0)</f>
        <v>40.246800250529503</v>
      </c>
      <c r="P44" s="949">
        <f ca="1">IF(M44&gt;0,N44*100/M44,0)</f>
        <v>39.409644194756552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209157</v>
      </c>
      <c r="M46" s="941">
        <f ca="1">M49+M52</f>
        <v>213600</v>
      </c>
      <c r="N46" s="941">
        <f ca="1">N49+N52</f>
        <v>84179</v>
      </c>
      <c r="O46" s="941">
        <f ca="1">IF(L46&gt;0,N46*100/L46,0)</f>
        <v>40.246800250529503</v>
      </c>
      <c r="P46" s="941">
        <f ca="1">IF(M46&gt;0,N46*100/M46,0)</f>
        <v>39.409644194756552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209157</v>
      </c>
      <c r="M47" s="427">
        <f ca="1">M48+M49</f>
        <v>213600</v>
      </c>
      <c r="N47" s="427">
        <f ca="1">N48+N49</f>
        <v>84179</v>
      </c>
      <c r="O47" s="427">
        <f ca="1">IF(L47&gt;0,N47*100/L47,0)</f>
        <v>40.246800250529503</v>
      </c>
      <c r="P47" s="427">
        <f ca="1">IF(M47&gt;0,N47*100/M47,0)</f>
        <v>39.409644194756552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IFERROR(__xludf.DUMMYFUNCTION("IMPORTRANGE(""https://docs.google.com/spreadsheets/d/1-uDff_7J0KD5mKrp0Vvzr7lt3OU09vwQwhkpOPPYv2Y/edit?usp=sharing"",""งบพรบ!P57"")"),209157)</f>
        <v>209157</v>
      </c>
      <c r="M49" s="427">
        <f ca="1">IFERROR(__xludf.DUMMYFUNCTION("IMPORTRANGE(""https://docs.google.com/spreadsheets/d/1-uDff_7J0KD5mKrp0Vvzr7lt3OU09vwQwhkpOPPYv2Y/edit?usp=sharing"",""งบพรบ!V57"")"),213600)</f>
        <v>213600</v>
      </c>
      <c r="N49" s="427">
        <f ca="1">IFERROR(__xludf.DUMMYFUNCTION("IMPORTRANGE(""https://docs.google.com/spreadsheets/d/1-uDff_7J0KD5mKrp0Vvzr7lt3OU09vwQwhkpOPPYv2Y/edit?usp=sharing"",""งบพรบ!Y57"")"),84179)</f>
        <v>84179</v>
      </c>
      <c r="O49" s="427">
        <f ca="1">IF(L49&gt;0,N49*100/L49,0)</f>
        <v>40.246800250529503</v>
      </c>
      <c r="P49" s="427">
        <f ca="1">IF(M49&gt;0,N49*100/M49,0)</f>
        <v>39.409644194756552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IFERROR(__xludf.DUMMYFUNCTION("IMPORTRANGE(""https://docs.google.com/spreadsheets/d/1-uDff_7J0KD5mKrp0Vvzr7lt3OU09vwQwhkpOPPYv2Y/edit?usp=sharing"",""งบพรบ!S57"")"),0)</f>
        <v>0</v>
      </c>
      <c r="M52" s="427">
        <f ca="1">IFERROR(__xludf.DUMMYFUNCTION("IMPORTRANGE(""https://docs.google.com/spreadsheets/d/1-uDff_7J0KD5mKrp0Vvzr7lt3OU09vwQwhkpOPPYv2Y/edit?usp=sharing"",""งบพรบ!W57"")"),0)</f>
        <v>0</v>
      </c>
      <c r="N52" s="427">
        <f ca="1">IFERROR(__xludf.DUMMYFUNCTION("IMPORTRANGE(""https://docs.google.com/spreadsheets/d/1-uDff_7J0KD5mKrp0Vvzr7lt3OU09vwQwhkpOPPYv2Y/edit?usp=sharing"",""งบพรบ!Z57"")"),0)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423000</v>
      </c>
      <c r="M59" s="921">
        <f ca="1">M60+M61</f>
        <v>319150</v>
      </c>
      <c r="N59" s="921">
        <f ca="1">N60+N61</f>
        <v>234485.63</v>
      </c>
      <c r="O59" s="921">
        <f ca="1">IF(L59&gt;0,N59*100/L59,0)</f>
        <v>55.433955082742315</v>
      </c>
      <c r="P59" s="921">
        <f ca="1">IF(M59&gt;0,N59*100/M59,0)</f>
        <v>73.471919160269465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423000</v>
      </c>
      <c r="M61" s="913">
        <f ca="1">M64+M67</f>
        <v>319150</v>
      </c>
      <c r="N61" s="913">
        <f ca="1">N64+N67</f>
        <v>234485.63</v>
      </c>
      <c r="O61" s="913">
        <f ca="1">IF(L61&gt;0,N61*100/L61,0)</f>
        <v>55.433955082742315</v>
      </c>
      <c r="P61" s="913">
        <f ca="1">IF(M61&gt;0,N61*100/M61,0)</f>
        <v>73.471919160269465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423000</v>
      </c>
      <c r="M62" s="427">
        <f ca="1">M63+M64</f>
        <v>319150</v>
      </c>
      <c r="N62" s="427">
        <f ca="1">N63+N64</f>
        <v>234485.63</v>
      </c>
      <c r="O62" s="427">
        <f ca="1">IF(L62&gt;0,N62*100/L62,0)</f>
        <v>55.433955082742315</v>
      </c>
      <c r="P62" s="427">
        <f ca="1">IF(M62&gt;0,N62*100/M62,0)</f>
        <v>73.471919160269465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IFERROR(__xludf.DUMMYFUNCTION("IMPORTRANGE(""https://docs.google.com/spreadsheets/d/1-uDff_7J0KD5mKrp0Vvzr7lt3OU09vwQwhkpOPPYv2Y/edit?usp=sharing"",""งบพรบ!AC57"")"),423000)</f>
        <v>423000</v>
      </c>
      <c r="M64" s="427">
        <f ca="1">IFERROR(__xludf.DUMMYFUNCTION("IMPORTRANGE(""https://docs.google.com/spreadsheets/d/1-uDff_7J0KD5mKrp0Vvzr7lt3OU09vwQwhkpOPPYv2Y/edit?usp=sharing"",""งบพรบ!AH57"")"),319150)</f>
        <v>319150</v>
      </c>
      <c r="N64" s="427">
        <f ca="1">IFERROR(__xludf.DUMMYFUNCTION("IMPORTRANGE(""https://docs.google.com/spreadsheets/d/1-uDff_7J0KD5mKrp0Vvzr7lt3OU09vwQwhkpOPPYv2Y/edit?usp=sharing"",""งบพรบ!AJ57"")"),234485.63)</f>
        <v>234485.63</v>
      </c>
      <c r="O64" s="427">
        <f ca="1">IF(L64&gt;0,N64*100/L64,0)</f>
        <v>55.433955082742315</v>
      </c>
      <c r="P64" s="427">
        <f ca="1">IF(M64&gt;0,N64*100/M64,0)</f>
        <v>73.471919160269465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IFERROR(__xludf.DUMMYFUNCTION("IMPORTRANGE(""https://docs.google.com/spreadsheets/d/1-uDff_7J0KD5mKrp0Vvzr7lt3OU09vwQwhkpOPPYv2Y/edit?usp=sharing"",""งบพรบ!AF57"")"),0)</f>
        <v>0</v>
      </c>
      <c r="M67" s="644">
        <f ca="1">IFERROR(__xludf.DUMMYFUNCTION("IMPORTRANGE(""https://docs.google.com/spreadsheets/d/1-uDff_7J0KD5mKrp0Vvzr7lt3OU09vwQwhkpOPPYv2Y/edit?usp=sharing"",""งบพรบ!AI57"")"),0)</f>
        <v>0</v>
      </c>
      <c r="N67" s="644">
        <f ca="1">IFERROR(__xludf.DUMMYFUNCTION("IMPORTRANGE(""https://docs.google.com/spreadsheets/d/1-uDff_7J0KD5mKrp0Vvzr7lt3OU09vwQwhkpOPPYv2Y/edit?usp=sharing"",""งบพรบ!AK57"")"),0)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IFERROR(__xludf.DUMMYFUNCTION("IMPORTRANGE(""https://docs.google.com/spreadsheets/d/1-uDff_7J0KD5mKrp0Vvzr7lt3OU09vwQwhkpOPPYv2Y/edit?usp=sharing"",""งบพรบ!AM57"")"),0)</f>
        <v>0</v>
      </c>
      <c r="M77" s="427">
        <f ca="1">IFERROR(__xludf.DUMMYFUNCTION("IMPORTRANGE(""https://docs.google.com/spreadsheets/d/1-uDff_7J0KD5mKrp0Vvzr7lt3OU09vwQwhkpOPPYv2Y/edit?usp=sharing"",""งบพรบ!AR57"")"),0)</f>
        <v>0</v>
      </c>
      <c r="N77" s="427">
        <f ca="1">IFERROR(__xludf.DUMMYFUNCTION("IMPORTRANGE(""https://docs.google.com/spreadsheets/d/1-uDff_7J0KD5mKrp0Vvzr7lt3OU09vwQwhkpOPPYv2Y/edit?usp=sharing"",""งบพรบ!AT57"")"),0)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IFERROR(__xludf.DUMMYFUNCTION("IMPORTRANGE(""https://docs.google.com/spreadsheets/d/1-uDff_7J0KD5mKrp0Vvzr7lt3OU09vwQwhkpOPPYv2Y/edit?usp=sharing"",""งบพรบ!AP57"")"),0)</f>
        <v>0</v>
      </c>
      <c r="M80" s="427">
        <f ca="1">IFERROR(__xludf.DUMMYFUNCTION("IMPORTRANGE(""https://docs.google.com/spreadsheets/d/1-uDff_7J0KD5mKrp0Vvzr7lt3OU09vwQwhkpOPPYv2Y/edit?usp=sharing"",""งบพรบ!AS57"")"),0)</f>
        <v>0</v>
      </c>
      <c r="N80" s="427">
        <f ca="1">IFERROR(__xludf.DUMMYFUNCTION("IMPORTRANGE(""https://docs.google.com/spreadsheets/d/1-uDff_7J0KD5mKrp0Vvzr7lt3OU09vwQwhkpOPPYv2Y/edit?usp=sharing"",""งบพรบ!AU57"")"),0)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IFERROR(__xludf.DUMMYFUNCTION("IMPORTRANGE(""https://docs.google.com/spreadsheets/d/1eHaY18a8A9IcSdp1K8H6x8fbOy06t2VsZHhMHf-1x7Y/edit?usp=sharing"",""แผน!H57"")"),0)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IFERROR(__xludf.DUMMYFUNCTION("IMPORTRANGE(""https://docs.google.com/spreadsheets/d/1eHaY18a8A9IcSdp1K8H6x8fbOy06t2VsZHhMHf-1x7Y/edit?usp=sharing"",""แผน!I57"")"),0)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IFERROR(__xludf.DUMMYFUNCTION("IMPORTRANGE(""https://docs.google.com/spreadsheets/d/1eHaY18a8A9IcSdp1K8H6x8fbOy06t2VsZHhMHf-1x7Y/edit?usp=sharing"",""แผน!F57"")"),0)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IFERROR(__xludf.DUMMYFUNCTION("IMPORTRANGE(""https://docs.google.com/spreadsheets/d/1eHaY18a8A9IcSdp1K8H6x8fbOy06t2VsZHhMHf-1x7Y/edit?usp=sharing"",""แผน!G57"")"),0)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IFERROR(__xludf.DUMMYFUNCTION("IMPORTRANGE(""https://docs.google.com/spreadsheets/d/1eHaY18a8A9IcSdp1K8H6x8fbOy06t2VsZHhMHf-1x7Y/edit?usp=sharing"",""แผน!D57"")"),0)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IFERROR(__xludf.DUMMYFUNCTION("IMPORTRANGE(""https://docs.google.com/spreadsheets/d/1eHaY18a8A9IcSdp1K8H6x8fbOy06t2VsZHhMHf-1x7Y/edit?usp=sharing"",""แผน!E57"")"),0)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IFERROR(__xludf.DUMMYFUNCTION("IMPORTRANGE(""https://docs.google.com/spreadsheets/d/1eHaY18a8A9IcSdp1K8H6x8fbOy06t2VsZHhMHf-1x7Y/edit?usp=sharing"",""แผน!J57"")"),0)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IFERROR(__xludf.DUMMYFUNCTION("IMPORTRANGE(""https://docs.google.com/spreadsheets/d/1-uDff_7J0KD5mKrp0Vvzr7lt3OU09vwQwhkpOPPYv2Y/edit?usp=sharing"",""งบพรบ!AW57"")"),0)</f>
        <v>0</v>
      </c>
      <c r="M99" s="427">
        <f ca="1">IFERROR(__xludf.DUMMYFUNCTION("IMPORTRANGE(""https://docs.google.com/spreadsheets/d/1-uDff_7J0KD5mKrp0Vvzr7lt3OU09vwQwhkpOPPYv2Y/edit?usp=sharing"",""งบพรบ!BB57"")"),0)</f>
        <v>0</v>
      </c>
      <c r="N99" s="427">
        <f ca="1">IFERROR(__xludf.DUMMYFUNCTION("IMPORTRANGE(""https://docs.google.com/spreadsheets/d/1-uDff_7J0KD5mKrp0Vvzr7lt3OU09vwQwhkpOPPYv2Y/edit?usp=sharing"",""งบพรบ!BD57"")"),0)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IFERROR(__xludf.DUMMYFUNCTION("IMPORTRANGE(""https://docs.google.com/spreadsheets/d/1-uDff_7J0KD5mKrp0Vvzr7lt3OU09vwQwhkpOPPYv2Y/edit?usp=sharing"",""งบพรบ!AZ57"")"),0)</f>
        <v>0</v>
      </c>
      <c r="M102" s="427">
        <f ca="1">IFERROR(__xludf.DUMMYFUNCTION("IMPORTRANGE(""https://docs.google.com/spreadsheets/d/1-uDff_7J0KD5mKrp0Vvzr7lt3OU09vwQwhkpOPPYv2Y/edit?usp=sharing"",""งบพรบ!BC57"")"),0)</f>
        <v>0</v>
      </c>
      <c r="N102" s="427">
        <f ca="1">IFERROR(__xludf.DUMMYFUNCTION("IMPORTRANGE(""https://docs.google.com/spreadsheets/d/1-uDff_7J0KD5mKrp0Vvzr7lt3OU09vwQwhkpOPPYv2Y/edit?usp=sharing"",""งบพรบ!BE57"")"),0)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IFERROR(__xludf.DUMMYFUNCTION("IMPORTRANGE(""https://docs.google.com/spreadsheets/d/1eHaY18a8A9IcSdp1K8H6x8fbOy06t2VsZHhMHf-1x7Y/edit?usp=sharing"",""แผน!N57"")"),0)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IFERROR(__xludf.DUMMYFUNCTION("IMPORTRANGE(""https://docs.google.com/spreadsheets/d/1eHaY18a8A9IcSdp1K8H6x8fbOy06t2VsZHhMHf-1x7Y/edit?usp=sharing"",""แผน!O57"")"),0)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IFERROR(__xludf.DUMMYFUNCTION("IMPORTRANGE(""https://docs.google.com/spreadsheets/d/1eHaY18a8A9IcSdp1K8H6x8fbOy06t2VsZHhMHf-1x7Y/edit?usp=sharing"",""แผน!R57"")"),0)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IFERROR(__xludf.DUMMYFUNCTION("IMPORTRANGE(""https://docs.google.com/spreadsheets/d/1-uDff_7J0KD5mKrp0Vvzr7lt3OU09vwQwhkpOPPYv2Y/edit?usp=sharing"",""งบพรบ!BG57"")"),0)</f>
        <v>0</v>
      </c>
      <c r="M130" s="886">
        <f ca="1">IFERROR(__xludf.DUMMYFUNCTION("IMPORTRANGE(""https://docs.google.com/spreadsheets/d/1-uDff_7J0KD5mKrp0Vvzr7lt3OU09vwQwhkpOPPYv2Y/edit?usp=sharing"",""งบพรบ!BL57"")"),0)</f>
        <v>0</v>
      </c>
      <c r="N130" s="886">
        <f ca="1">IFERROR(__xludf.DUMMYFUNCTION("IMPORTRANGE(""https://docs.google.com/spreadsheets/d/1-uDff_7J0KD5mKrp0Vvzr7lt3OU09vwQwhkpOPPYv2Y/edit?usp=sharing"",""งบพรบ!BN57"")"),0)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IFERROR(__xludf.DUMMYFUNCTION("IMPORTRANGE(""https://docs.google.com/spreadsheets/d/1-uDff_7J0KD5mKrp0Vvzr7lt3OU09vwQwhkpOPPYv2Y/edit?usp=sharing"",""งบพรบ!BJ57"")"),0)</f>
        <v>0</v>
      </c>
      <c r="M133" s="886">
        <f ca="1">IFERROR(__xludf.DUMMYFUNCTION("IMPORTRANGE(""https://docs.google.com/spreadsheets/d/1-uDff_7J0KD5mKrp0Vvzr7lt3OU09vwQwhkpOPPYv2Y/edit?usp=sharing"",""งบพรบ!BM57"")"),0)</f>
        <v>0</v>
      </c>
      <c r="N133" s="886">
        <f ca="1">IFERROR(__xludf.DUMMYFUNCTION("IMPORTRANGE(""https://docs.google.com/spreadsheets/d/1-uDff_7J0KD5mKrp0Vvzr7lt3OU09vwQwhkpOPPYv2Y/edit?usp=sharing"",""งบพรบ!BO57"")"),0)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IFERROR(__xludf.DUMMYFUNCTION("IMPORTRANGE(""https://docs.google.com/spreadsheets/d/1-uDff_7J0KD5mKrp0Vvzr7lt3OU09vwQwhkpOPPYv2Y/edit?usp=sharing"",""งบพรบ!BQ57"")"),0)</f>
        <v>0</v>
      </c>
      <c r="M144" s="427">
        <f ca="1">IFERROR(__xludf.DUMMYFUNCTION("IMPORTRANGE(""https://docs.google.com/spreadsheets/d/1-uDff_7J0KD5mKrp0Vvzr7lt3OU09vwQwhkpOPPYv2Y/edit?usp=sharing"",""งบพรบ!BV57"")"),0)</f>
        <v>0</v>
      </c>
      <c r="N144" s="427">
        <f ca="1">IFERROR(__xludf.DUMMYFUNCTION("IMPORTRANGE(""https://docs.google.com/spreadsheets/d/1-uDff_7J0KD5mKrp0Vvzr7lt3OU09vwQwhkpOPPYv2Y/edit?usp=sharing"",""งบพรบ!BX57"")"),0)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IFERROR(__xludf.DUMMYFUNCTION("IMPORTRANGE(""https://docs.google.com/spreadsheets/d/1-uDff_7J0KD5mKrp0Vvzr7lt3OU09vwQwhkpOPPYv2Y/edit?usp=sharing"",""งบพรบ!BT57"")"),0)</f>
        <v>0</v>
      </c>
      <c r="M147" s="427">
        <f ca="1">IFERROR(__xludf.DUMMYFUNCTION("IMPORTRANGE(""https://docs.google.com/spreadsheets/d/1-uDff_7J0KD5mKrp0Vvzr7lt3OU09vwQwhkpOPPYv2Y/edit?usp=sharing"",""งบพรบ!BW57"")"),0)</f>
        <v>0</v>
      </c>
      <c r="N147" s="427">
        <f ca="1">IFERROR(__xludf.DUMMYFUNCTION("IMPORTRANGE(""https://docs.google.com/spreadsheets/d/1-uDff_7J0KD5mKrp0Vvzr7lt3OU09vwQwhkpOPPYv2Y/edit?usp=sharing"",""งบพรบ!BY57"")"),0)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IFERROR(__xludf.DUMMYFUNCTION("IMPORTRANGE(""https://docs.google.com/spreadsheets/d/1eHaY18a8A9IcSdp1K8H6x8fbOy06t2VsZHhMHf-1x7Y/edit?usp=sharing"",""แผน!U57"")"),0)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IFERROR(__xludf.DUMMYFUNCTION("IMPORTRANGE(""https://docs.google.com/spreadsheets/d/1eHaY18a8A9IcSdp1K8H6x8fbOy06t2VsZHhMHf-1x7Y/edit?usp=sharing"",""แผน!V57"")"),0)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IFERROR(__xludf.DUMMYFUNCTION("IMPORTRANGE(""https://docs.google.com/spreadsheets/d/1eHaY18a8A9IcSdp1K8H6x8fbOy06t2VsZHhMHf-1x7Y/edit?usp=sharing"",""แผน!W57"")"),0)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IFERROR(__xludf.DUMMYFUNCTION("IMPORTRANGE(""https://docs.google.com/spreadsheets/d/1eHaY18a8A9IcSdp1K8H6x8fbOy06t2VsZHhMHf-1x7Y/edit?usp=sharing"",""แผน!X57"")"),0)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IFERROR(__xludf.DUMMYFUNCTION("IMPORTRANGE(""https://docs.google.com/spreadsheets/d/1eHaY18a8A9IcSdp1K8H6x8fbOy06t2VsZHhMHf-1x7Y/edit?usp=sharing"",""แผน!Y57"")"),0)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IFERROR(__xludf.DUMMYFUNCTION("IMPORTRANGE(""https://docs.google.com/spreadsheets/d/1-uDff_7J0KD5mKrp0Vvzr7lt3OU09vwQwhkpOPPYv2Y/edit?usp=sharing"",""งบพรบ!CA57"")"),3000)</f>
        <v>3000</v>
      </c>
      <c r="M162" s="427">
        <f ca="1">IFERROR(__xludf.DUMMYFUNCTION("IMPORTRANGE(""https://docs.google.com/spreadsheets/d/1-uDff_7J0KD5mKrp0Vvzr7lt3OU09vwQwhkpOPPYv2Y/edit?usp=sharing"",""งบพรบ!CF57"")"),0)</f>
        <v>0</v>
      </c>
      <c r="N162" s="427">
        <f ca="1">IFERROR(__xludf.DUMMYFUNCTION("IMPORTRANGE(""https://docs.google.com/spreadsheets/d/1-uDff_7J0KD5mKrp0Vvzr7lt3OU09vwQwhkpOPPYv2Y/edit?usp=sharing"",""งบพรบ!CH57"")"),0)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IFERROR(__xludf.DUMMYFUNCTION("IMPORTRANGE(""https://docs.google.com/spreadsheets/d/1-uDff_7J0KD5mKrp0Vvzr7lt3OU09vwQwhkpOPPYv2Y/edit?usp=sharing"",""งบพรบ!CD57"")"),0)</f>
        <v>0</v>
      </c>
      <c r="M165" s="427">
        <f ca="1">IFERROR(__xludf.DUMMYFUNCTION("IMPORTRANGE(""https://docs.google.com/spreadsheets/d/1-uDff_7J0KD5mKrp0Vvzr7lt3OU09vwQwhkpOPPYv2Y/edit?usp=sharing"",""งบพรบ!CG57"")"),0)</f>
        <v>0</v>
      </c>
      <c r="N165" s="427">
        <f ca="1">IFERROR(__xludf.DUMMYFUNCTION("IMPORTRANGE(""https://docs.google.com/spreadsheets/d/1-uDff_7J0KD5mKrp0Vvzr7lt3OU09vwQwhkpOPPYv2Y/edit?usp=sharing"",""งบพรบ!CI57"")"),0)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IFERROR(__xludf.DUMMYFUNCTION("IMPORTRANGE(""https://docs.google.com/spreadsheets/d/1eHaY18a8A9IcSdp1K8H6x8fbOy06t2VsZHhMHf-1x7Y/edit?usp=sharing"",""แผน!Z57"")"),10)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IFERROR(__xludf.DUMMYFUNCTION("IMPORTRANGE(""https://docs.google.com/spreadsheets/d/1-uDff_7J0KD5mKrp0Vvzr7lt3OU09vwQwhkpOPPYv2Y/edit?usp=sharing"",""งบพรบ!CK57"")"),19590)</f>
        <v>19590</v>
      </c>
      <c r="M178" s="427">
        <f ca="1">IFERROR(__xludf.DUMMYFUNCTION("IMPORTRANGE(""https://docs.google.com/spreadsheets/d/1-uDff_7J0KD5mKrp0Vvzr7lt3OU09vwQwhkpOPPYv2Y/edit?usp=sharing"",""งบพรบ!CP57"")"),19590)</f>
        <v>19590</v>
      </c>
      <c r="N178" s="427">
        <f ca="1">IFERROR(__xludf.DUMMYFUNCTION("IMPORTRANGE(""https://docs.google.com/spreadsheets/d/1-uDff_7J0KD5mKrp0Vvzr7lt3OU09vwQwhkpOPPYv2Y/edit?usp=sharing"",""งบพรบ!CR57"")"),0)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IFERROR(__xludf.DUMMYFUNCTION("IMPORTRANGE(""https://docs.google.com/spreadsheets/d/1-uDff_7J0KD5mKrp0Vvzr7lt3OU09vwQwhkpOPPYv2Y/edit?usp=sharing"",""งบพรบ!CN57"")"),0)</f>
        <v>0</v>
      </c>
      <c r="M181" s="427">
        <f ca="1">IFERROR(__xludf.DUMMYFUNCTION("IMPORTRANGE(""https://docs.google.com/spreadsheets/d/1-uDff_7J0KD5mKrp0Vvzr7lt3OU09vwQwhkpOPPYv2Y/edit?usp=sharing"",""งบพรบ!CQ57"")"),0)</f>
        <v>0</v>
      </c>
      <c r="N181" s="427">
        <f ca="1">IFERROR(__xludf.DUMMYFUNCTION("IMPORTRANGE(""https://docs.google.com/spreadsheets/d/1-uDff_7J0KD5mKrp0Vvzr7lt3OU09vwQwhkpOPPYv2Y/edit?usp=sharing"",""งบพรบ!CS57"")"),0)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IFERROR(__xludf.DUMMYFUNCTION("IMPORTRANGE(""https://docs.google.com/spreadsheets/d/1eHaY18a8A9IcSdp1K8H6x8fbOy06t2VsZHhMHf-1x7Y/edit?usp=sharing"",""แผน!AA57"")"),7)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98200</v>
      </c>
      <c r="M186" s="737">
        <f ca="1">M187+M188</f>
        <v>67000</v>
      </c>
      <c r="N186" s="737">
        <f ca="1">N187+N188</f>
        <v>32660</v>
      </c>
      <c r="O186" s="737">
        <f ca="1">IF(L186&gt;0,N186*100/L186,0)</f>
        <v>33.258655804480654</v>
      </c>
      <c r="P186" s="737">
        <f ca="1">IF(M186&gt;0,N186*100/M186,0)</f>
        <v>48.746268656716417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98200</v>
      </c>
      <c r="M188" s="427">
        <f ca="1">M191+M194</f>
        <v>67000</v>
      </c>
      <c r="N188" s="427">
        <f ca="1">N191+N194</f>
        <v>32660</v>
      </c>
      <c r="O188" s="427">
        <f ca="1">IF(L188&gt;0,N188*100/L188,0)</f>
        <v>33.258655804480654</v>
      </c>
      <c r="P188" s="427">
        <f ca="1">IF(M188&gt;0,N188*100/M188,0)</f>
        <v>48.746268656716417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98200</v>
      </c>
      <c r="M189" s="427">
        <f ca="1">M190+M191</f>
        <v>67000</v>
      </c>
      <c r="N189" s="427">
        <f ca="1">N190+N191</f>
        <v>32660</v>
      </c>
      <c r="O189" s="427">
        <f ca="1">IF(L189&gt;0,N189*100/L189,0)</f>
        <v>33.258655804480654</v>
      </c>
      <c r="P189" s="427">
        <f ca="1">IF(M189&gt;0,N189*100/M189,0)</f>
        <v>48.746268656716417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IFERROR(__xludf.DUMMYFUNCTION("IMPORTRANGE(""https://docs.google.com/spreadsheets/d/1-uDff_7J0KD5mKrp0Vvzr7lt3OU09vwQwhkpOPPYv2Y/edit?usp=sharing"",""งบพรบ!CU57"")"),98200)</f>
        <v>98200</v>
      </c>
      <c r="M191" s="427">
        <f ca="1">IFERROR(__xludf.DUMMYFUNCTION("IMPORTRANGE(""https://docs.google.com/spreadsheets/d/1-uDff_7J0KD5mKrp0Vvzr7lt3OU09vwQwhkpOPPYv2Y/edit?usp=sharing"",""งบพรบ!CZ57"")"),67000)</f>
        <v>67000</v>
      </c>
      <c r="N191" s="427">
        <f ca="1">IFERROR(__xludf.DUMMYFUNCTION("IMPORTRANGE(""https://docs.google.com/spreadsheets/d/1-uDff_7J0KD5mKrp0Vvzr7lt3OU09vwQwhkpOPPYv2Y/edit?usp=sharing"",""งบพรบ!DB57"")"),32660)</f>
        <v>32660</v>
      </c>
      <c r="O191" s="427">
        <f ca="1">IF(L191&gt;0,N191*100/L191,0)</f>
        <v>33.258655804480654</v>
      </c>
      <c r="P191" s="427">
        <f ca="1">IF(M191&gt;0,N191*100/M191,0)</f>
        <v>48.746268656716417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IFERROR(__xludf.DUMMYFUNCTION("IMPORTRANGE(""https://docs.google.com/spreadsheets/d/1-uDff_7J0KD5mKrp0Vvzr7lt3OU09vwQwhkpOPPYv2Y/edit?usp=sharing"",""งบพรบ!CX57"")"),0)</f>
        <v>0</v>
      </c>
      <c r="M194" s="427">
        <f ca="1">IFERROR(__xludf.DUMMYFUNCTION("IMPORTRANGE(""https://docs.google.com/spreadsheets/d/1-uDff_7J0KD5mKrp0Vvzr7lt3OU09vwQwhkpOPPYv2Y/edit?usp=sharing"",""งบพรบ!DA57"")"),0)</f>
        <v>0</v>
      </c>
      <c r="N194" s="427">
        <f ca="1">IFERROR(__xludf.DUMMYFUNCTION("IMPORTRANGE(""https://docs.google.com/spreadsheets/d/1-uDff_7J0KD5mKrp0Vvzr7lt3OU09vwQwhkpOPPYv2Y/edit?usp=sharing"",""งบพรบ!DC57"")"),0)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IFERROR(__xludf.DUMMYFUNCTION("IMPORTRANGE(""https://docs.google.com/spreadsheets/d/1eHaY18a8A9IcSdp1K8H6x8fbOy06t2VsZHhMHf-1x7Y/edit?usp=sharing"",""แผน!AB57"")"),6000)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IFERROR(__xludf.DUMMYFUNCTION("IMPORTRANGE(""https://docs.google.com/spreadsheets/d/1eHaY18a8A9IcSdp1K8H6x8fbOy06t2VsZHhMHf-1x7Y/edit?usp=sharing"",""แผน!AE57"")"),4)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IFERROR(__xludf.DUMMYFUNCTION("IMPORTRANGE(""https://docs.google.com/spreadsheets/d/1eHaY18a8A9IcSdp1K8H6x8fbOy06t2VsZHhMHf-1x7Y/edit?usp=sharing"",""แผน!AG57"")"),1000)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IFERROR(__xludf.DUMMYFUNCTION("IMPORTRANGE(""https://docs.google.com/spreadsheets/d/1eHaY18a8A9IcSdp1K8H6x8fbOy06t2VsZHhMHf-1x7Y/edit?usp=sharing"",""แผน!AH57"")"),0)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IFERROR(__xludf.DUMMYFUNCTION("IMPORTRANGE(""https://docs.google.com/spreadsheets/d/1eHaY18a8A9IcSdp1K8H6x8fbOy06t2VsZHhMHf-1x7Y/edit?usp=sharing"",""แผน!AI57"")"),8000)</f>
        <v>8000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IFERROR(__xludf.DUMMYFUNCTION("IMPORTRANGE(""https://docs.google.com/spreadsheets/d/1eHaY18a8A9IcSdp1K8H6x8fbOy06t2VsZHhMHf-1x7Y/edit?usp=sharing"",""แผน!AJ57"")"),4000)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IFERROR(__xludf.DUMMYFUNCTION("IMPORTRANGE(""https://docs.google.com/spreadsheets/d/1eHaY18a8A9IcSdp1K8H6x8fbOy06t2VsZHhMHf-1x7Y/edit?usp=sharing"",""แผน!AK57"")"),1)</f>
        <v>1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IFERROR(__xludf.DUMMYFUNCTION("IMPORTRANGE(""https://docs.google.com/spreadsheets/d/1eHaY18a8A9IcSdp1K8H6x8fbOy06t2VsZHhMHf-1x7Y/edit?usp=sharing"",""แผน!JX57"")"),1)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IFERROR(__xludf.DUMMYFUNCTION("IMPORTRANGE(""https://docs.google.com/spreadsheets/d/1eHaY18a8A9IcSdp1K8H6x8fbOy06t2VsZHhMHf-1x7Y/edit?usp=sharing"",""แผน!JY57"")"),0)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IFERROR(__xludf.DUMMYFUNCTION("IMPORTRANGE(""https://docs.google.com/spreadsheets/d/1eHaY18a8A9IcSdp1K8H6x8fbOy06t2VsZHhMHf-1x7Y/edit?usp=sharing"",""แผน!AM57"")"),0)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IFERROR(__xludf.DUMMYFUNCTION("IMPORTRANGE(""https://docs.google.com/spreadsheets/d/1eHaY18a8A9IcSdp1K8H6x8fbOy06t2VsZHhMHf-1x7Y/edit?usp=sharing"",""แผน!AN57"")"),0)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IFERROR(__xludf.DUMMYFUNCTION("IMPORTRANGE(""https://docs.google.com/spreadsheets/d/1eHaY18a8A9IcSdp1K8H6x8fbOy06t2VsZHhMHf-1x7Y/edit?usp=sharing"",""แผน!AO57"")"),0)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IFERROR(__xludf.DUMMYFUNCTION("IMPORTRANGE(""https://docs.google.com/spreadsheets/d/1eHaY18a8A9IcSdp1K8H6x8fbOy06t2VsZHhMHf-1x7Y/edit?usp=sharing"",""แผน!AP57"")"),0)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IFERROR(__xludf.DUMMYFUNCTION("IMPORTRANGE(""https://docs.google.com/spreadsheets/d/1eHaY18a8A9IcSdp1K8H6x8fbOy06t2VsZHhMHf-1x7Y/edit?usp=sharing"",""แผน!AP57"")"),0)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12800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IFERROR(__xludf.DUMMYFUNCTION("IMPORTRANGE(""https://docs.google.com/spreadsheets/d/1eHaY18a8A9IcSdp1K8H6x8fbOy06t2VsZHhMHf-1x7Y/edit?usp=sharing"",""แผน!AR57"")"),3000)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IFERROR(__xludf.DUMMYFUNCTION("IMPORTRANGE(""https://docs.google.com/spreadsheets/d/1eHaY18a8A9IcSdp1K8H6x8fbOy06t2VsZHhMHf-1x7Y/edit?usp=sharing"",""แผน!AS57"")"),1500)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IFERROR(__xludf.DUMMYFUNCTION("IMPORTRANGE(""https://docs.google.com/spreadsheets/d/1eHaY18a8A9IcSdp1K8H6x8fbOy06t2VsZHhMHf-1x7Y/edit?usp=sharing"",""แผน!AT57"")"),0)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IFERROR(__xludf.DUMMYFUNCTION("IMPORTRANGE(""https://docs.google.com/spreadsheets/d/1eHaY18a8A9IcSdp1K8H6x8fbOy06t2VsZHhMHf-1x7Y/edit?usp=sharing"",""แผน!AV57"")"),12800)</f>
        <v>12800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IFERROR(__xludf.DUMMYFUNCTION("IMPORTRANGE(""https://docs.google.com/spreadsheets/d/1eHaY18a8A9IcSdp1K8H6x8fbOy06t2VsZHhMHf-1x7Y/edit?usp=sharing"",""แผน!AV57"")"),12800)</f>
        <v>12800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IFERROR(__xludf.DUMMYFUNCTION("IMPORTRANGE(""https://docs.google.com/spreadsheets/d/1eHaY18a8A9IcSdp1K8H6x8fbOy06t2VsZHhMHf-1x7Y/edit?usp=sharing"",""แผน!AU57"")"),0)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3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1"/>
      <c r="C232" s="733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1"/>
      <c r="D233" s="751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751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751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30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27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30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27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27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83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1"/>
      <c r="C243" s="60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1"/>
      <c r="D244" s="623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IFERROR(__xludf.DUMMYFUNCTION("IMPORTRANGE(""https://docs.google.com/spreadsheets/d/1eHaY18a8A9IcSdp1K8H6x8fbOy06t2VsZHhMHf-1x7Y/edit?usp=sharing"",""แผน!AX57"")"),0)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623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IFERROR(__xludf.DUMMYFUNCTION("IMPORTRANGE(""https://docs.google.com/spreadsheets/d/1eHaY18a8A9IcSdp1K8H6x8fbOy06t2VsZHhMHf-1x7Y/edit?usp=sharing"",""แผน!AY57"")"),0)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623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IFERROR(__xludf.DUMMYFUNCTION("IMPORTRANGE(""https://docs.google.com/spreadsheets/d/1eHaY18a8A9IcSdp1K8H6x8fbOy06t2VsZHhMHf-1x7Y/edit?usp=sharing"",""แผน!AZ57"")"),0)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IFERROR(__xludf.DUMMYFUNCTION("IMPORTRANGE(""https://docs.google.com/spreadsheets/d/1eHaY18a8A9IcSdp1K8H6x8fbOy06t2VsZHhMHf-1x7Y/edit?usp=sharing"",""แผน!BA57"")"),0)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30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539" t="s">
        <v>33</v>
      </c>
      <c r="I249" s="201">
        <f ca="1">IFERROR(__xludf.DUMMYFUNCTION("IMPORTRANGE(""https://docs.google.com/spreadsheets/d/1eHaY18a8A9IcSdp1K8H6x8fbOy06t2VsZHhMHf-1x7Y/edit?usp=sharing"",""แผน!BG57"")"),0)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30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539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539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623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IFERROR(__xludf.DUMMYFUNCTION("IMPORTRANGE(""https://docs.google.com/spreadsheets/d/1eHaY18a8A9IcSdp1K8H6x8fbOy06t2VsZHhMHf-1x7Y/edit?usp=sharing"",""แผน!BB57"")"),0)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623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IFERROR(__xludf.DUMMYFUNCTION("IMPORTRANGE(""https://docs.google.com/spreadsheets/d/1eHaY18a8A9IcSdp1K8H6x8fbOy06t2VsZHhMHf-1x7Y/edit?usp=sharing"",""แผน!BC57"")"),0)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623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IFERROR(__xludf.DUMMYFUNCTION("IMPORTRANGE(""https://docs.google.com/spreadsheets/d/1eHaY18a8A9IcSdp1K8H6x8fbOy06t2VsZHhMHf-1x7Y/edit?usp=sharing"",""แผน!BD57"")"),0)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IFERROR(__xludf.DUMMYFUNCTION("IMPORTRANGE(""https://docs.google.com/spreadsheets/d/1eHaY18a8A9IcSdp1K8H6x8fbOy06t2VsZHhMHf-1x7Y/edit?usp=sharing"",""แผน!BE57"")"),0)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IFERROR(__xludf.DUMMYFUNCTION("IMPORTRANGE(""https://docs.google.com/spreadsheets/d/1eHaY18a8A9IcSdp1K8H6x8fbOy06t2VsZHhMHf-1x7Y/edit?usp=sharing"",""แผน!BH57"")"),0)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IFERROR(__xludf.DUMMYFUNCTION("IMPORTRANGE(""https://docs.google.com/spreadsheets/d/1-uDff_7J0KD5mKrp0Vvzr7lt3OU09vwQwhkpOPPYv2Y/edit?usp=sharing"",""งบพรบ!DE57"")"),0)</f>
        <v>0</v>
      </c>
      <c r="M271" s="522">
        <f ca="1">IFERROR(__xludf.DUMMYFUNCTION("IMPORTRANGE(""https://docs.google.com/spreadsheets/d/1-uDff_7J0KD5mKrp0Vvzr7lt3OU09vwQwhkpOPPYv2Y/edit?usp=sharing"",""งบพรบ!DJ57"")"),0)</f>
        <v>0</v>
      </c>
      <c r="N271" s="522">
        <f ca="1">IFERROR(__xludf.DUMMYFUNCTION("IMPORTRANGE(""https://docs.google.com/spreadsheets/d/1-uDff_7J0KD5mKrp0Vvzr7lt3OU09vwQwhkpOPPYv2Y/edit?usp=sharing"",""งบพรบ!DL57"")"),0)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IFERROR(__xludf.DUMMYFUNCTION("IMPORTRANGE(""https://docs.google.com/spreadsheets/d/1-uDff_7J0KD5mKrp0Vvzr7lt3OU09vwQwhkpOPPYv2Y/edit?usp=sharing"",""งบพรบ!DH57"")"),0)</f>
        <v>0</v>
      </c>
      <c r="M274" s="522">
        <f ca="1">IFERROR(__xludf.DUMMYFUNCTION("IMPORTRANGE(""https://docs.google.com/spreadsheets/d/1-uDff_7J0KD5mKrp0Vvzr7lt3OU09vwQwhkpOPPYv2Y/edit?usp=sharing"",""งบพรบ!DK57"")"),0)</f>
        <v>0</v>
      </c>
      <c r="N274" s="522">
        <f ca="1">IFERROR(__xludf.DUMMYFUNCTION("IMPORTRANGE(""https://docs.google.com/spreadsheets/d/1-uDff_7J0KD5mKrp0Vvzr7lt3OU09vwQwhkpOPPYv2Y/edit?usp=sharing"",""งบพรบ!DM57"")"),0)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IFERROR(__xludf.DUMMYFUNCTION("IMPORTRANGE(""https://docs.google.com/spreadsheets/d/1-uDff_7J0KD5mKrp0Vvzr7lt3OU09vwQwhkpOPPYv2Y/edit?usp=sharing"",""งบพรบ!DO57"")"),0)</f>
        <v>0</v>
      </c>
      <c r="M287" s="427">
        <f ca="1">IFERROR(__xludf.DUMMYFUNCTION("IMPORTRANGE(""https://docs.google.com/spreadsheets/d/1-uDff_7J0KD5mKrp0Vvzr7lt3OU09vwQwhkpOPPYv2Y/edit?usp=sharing"",""งบพรบ!DT57"")"),0)</f>
        <v>0</v>
      </c>
      <c r="N287" s="427">
        <f ca="1">IFERROR(__xludf.DUMMYFUNCTION("IMPORTRANGE(""https://docs.google.com/spreadsheets/d/1-uDff_7J0KD5mKrp0Vvzr7lt3OU09vwQwhkpOPPYv2Y/edit?usp=sharing"",""งบพรบ!DV57"")"),0)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IFERROR(__xludf.DUMMYFUNCTION("IMPORTRANGE(""https://docs.google.com/spreadsheets/d/1-uDff_7J0KD5mKrp0Vvzr7lt3OU09vwQwhkpOPPYv2Y/edit?usp=sharing"",""งบพรบ!DR57"")"),0)</f>
        <v>0</v>
      </c>
      <c r="M290" s="427">
        <f ca="1">IFERROR(__xludf.DUMMYFUNCTION("IMPORTRANGE(""https://docs.google.com/spreadsheets/d/1-uDff_7J0KD5mKrp0Vvzr7lt3OU09vwQwhkpOPPYv2Y/edit?usp=sharing"",""งบพรบ!DU57"")"),0)</f>
        <v>0</v>
      </c>
      <c r="N290" s="427">
        <f ca="1">IFERROR(__xludf.DUMMYFUNCTION("IMPORTRANGE(""https://docs.google.com/spreadsheets/d/1-uDff_7J0KD5mKrp0Vvzr7lt3OU09vwQwhkpOPPYv2Y/edit?usp=sharing"",""งบพรบ!DW57"")"),0)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IFERROR(__xludf.DUMMYFUNCTION("IMPORTRANGE(""https://docs.google.com/spreadsheets/d/1eHaY18a8A9IcSdp1K8H6x8fbOy06t2VsZHhMHf-1x7Y/edit?usp=sharing"",""แผน!EE57"")"),0)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IFERROR(__xludf.DUMMYFUNCTION("IMPORTRANGE(""https://docs.google.com/spreadsheets/d/1eHaY18a8A9IcSdp1K8H6x8fbOy06t2VsZHhMHf-1x7Y/edit?usp=sharing"",""แผน!ED57"")"),0)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IFERROR(__xludf.DUMMYFUNCTION("IMPORTRANGE(""https://docs.google.com/spreadsheets/d/1eHaY18a8A9IcSdp1K8H6x8fbOy06t2VsZHhMHf-1x7Y/edit?usp=sharing"",""แผน!ED57"")"),0)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IFERROR(__xludf.DUMMYFUNCTION("IMPORTRANGE(""https://docs.google.com/spreadsheets/d/1eHaY18a8A9IcSdp1K8H6x8fbOy06t2VsZHhMHf-1x7Y/edit?usp=sharing"",""แผน!ED57"")"),0)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20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133500</v>
      </c>
      <c r="M303" s="737">
        <f ca="1">M304+M305</f>
        <v>100900</v>
      </c>
      <c r="N303" s="737">
        <f ca="1">N304+N305</f>
        <v>14600</v>
      </c>
      <c r="O303" s="737">
        <f ca="1">IF(L303&gt;0,N303*100/L303,0)</f>
        <v>10.936329588014981</v>
      </c>
      <c r="P303" s="737">
        <f ca="1">IF(M303&gt;0,N303*100/M303,0)</f>
        <v>14.469772051536175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133500</v>
      </c>
      <c r="M305" s="427">
        <f ca="1">M308+M311</f>
        <v>100900</v>
      </c>
      <c r="N305" s="427">
        <f ca="1">N308+N311</f>
        <v>14600</v>
      </c>
      <c r="O305" s="427">
        <f ca="1">IF(L305&gt;0,N305*100/L305,0)</f>
        <v>10.936329588014981</v>
      </c>
      <c r="P305" s="427">
        <f ca="1">IF(M305&gt;0,N305*100/M305,0)</f>
        <v>14.469772051536175</v>
      </c>
    </row>
    <row r="306" spans="1:16" ht="18.75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133500</v>
      </c>
      <c r="M306" s="427">
        <f ca="1">M307+M308</f>
        <v>100900</v>
      </c>
      <c r="N306" s="427">
        <f ca="1">N307+N308</f>
        <v>14600</v>
      </c>
      <c r="O306" s="427">
        <f ca="1">IF(L306&gt;0,N306*100/L306,0)</f>
        <v>10.936329588014981</v>
      </c>
      <c r="P306" s="427">
        <f ca="1">IF(M306&gt;0,N306*100/M306,0)</f>
        <v>14.469772051536175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IFERROR(__xludf.DUMMYFUNCTION("IMPORTRANGE(""https://docs.google.com/spreadsheets/d/1-uDff_7J0KD5mKrp0Vvzr7lt3OU09vwQwhkpOPPYv2Y/edit?usp=sharing"",""งบพรบ!DY57"")"),133500)</f>
        <v>133500</v>
      </c>
      <c r="M308" s="427">
        <f ca="1">IFERROR(__xludf.DUMMYFUNCTION("IMPORTRANGE(""https://docs.google.com/spreadsheets/d/1-uDff_7J0KD5mKrp0Vvzr7lt3OU09vwQwhkpOPPYv2Y/edit?usp=sharing"",""งบพรบ!ED57"")"),100900)</f>
        <v>100900</v>
      </c>
      <c r="N308" s="427">
        <f ca="1">IFERROR(__xludf.DUMMYFUNCTION("IMPORTRANGE(""https://docs.google.com/spreadsheets/d/1-uDff_7J0KD5mKrp0Vvzr7lt3OU09vwQwhkpOPPYv2Y/edit?usp=sharing"",""งบพรบ!EF57"")"),14600)</f>
        <v>14600</v>
      </c>
      <c r="O308" s="427">
        <f ca="1">IF(L308&gt;0,N308*100/L308,0)</f>
        <v>10.936329588014981</v>
      </c>
      <c r="P308" s="427">
        <f ca="1">IF(M308&gt;0,N308*100/M308,0)</f>
        <v>14.469772051536175</v>
      </c>
    </row>
    <row r="309" spans="1:16" ht="18.75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IFERROR(__xludf.DUMMYFUNCTION("IMPORTRANGE(""https://docs.google.com/spreadsheets/d/1-uDff_7J0KD5mKrp0Vvzr7lt3OU09vwQwhkpOPPYv2Y/edit?usp=sharing"",""งบพรบ!EB57"")"),0)</f>
        <v>0</v>
      </c>
      <c r="M311" s="427">
        <f ca="1">IFERROR(__xludf.DUMMYFUNCTION("IMPORTRANGE(""https://docs.google.com/spreadsheets/d/1-uDff_7J0KD5mKrp0Vvzr7lt3OU09vwQwhkpOPPYv2Y/edit?usp=sharing"",""งบพรบ!EE57"")"),0)</f>
        <v>0</v>
      </c>
      <c r="N311" s="427">
        <f ca="1">IFERROR(__xludf.DUMMYFUNCTION("IMPORTRANGE(""https://docs.google.com/spreadsheets/d/1-uDff_7J0KD5mKrp0Vvzr7lt3OU09vwQwhkpOPPYv2Y/edit?usp=sharing"",""งบพรบ!EG57"")"),0)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IFERROR(__xludf.DUMMYFUNCTION("IMPORTRANGE(""https://docs.google.com/spreadsheets/d/1eHaY18a8A9IcSdp1K8H6x8fbOy06t2VsZHhMHf-1x7Y/edit?usp=sharing"",""แผน!EF57"")"),20)</f>
        <v>20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IFERROR(__xludf.DUMMYFUNCTION("IMPORTRANGE(""https://docs.google.com/spreadsheets/d/1eHaY18a8A9IcSdp1K8H6x8fbOy06t2VsZHhMHf-1x7Y/edit?usp=sharing"",""แผน!EG57"")"),4)</f>
        <v>4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IFERROR(__xludf.DUMMYFUNCTION("IMPORTRANGE(""https://docs.google.com/spreadsheets/d/1eHaY18a8A9IcSdp1K8H6x8fbOy06t2VsZHhMHf-1x7Y/edit?usp=sharing"",""แผน!EH57"")"),20)</f>
        <v>20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IFERROR(__xludf.DUMMYFUNCTION("IMPORTRANGE(""https://docs.google.com/spreadsheets/d/1eHaY18a8A9IcSdp1K8H6x8fbOy06t2VsZHhMHf-1x7Y/edit?usp=sharing"",""แผน!EI57"")"),4)</f>
        <v>4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IFERROR(__xludf.DUMMYFUNCTION("IMPORTRANGE(""https://docs.google.com/spreadsheets/d/1-uDff_7J0KD5mKrp0Vvzr7lt3OU09vwQwhkpOPPYv2Y/edit?usp=sharing"",""งบพรบ!EI57"")"),0)</f>
        <v>0</v>
      </c>
      <c r="M325" s="427">
        <f ca="1">IFERROR(__xludf.DUMMYFUNCTION("IMPORTRANGE(""https://docs.google.com/spreadsheets/d/1-uDff_7J0KD5mKrp0Vvzr7lt3OU09vwQwhkpOPPYv2Y/edit?usp=sharing"",""งบพรบ!EN57"")"),0)</f>
        <v>0</v>
      </c>
      <c r="N325" s="427">
        <f ca="1">IFERROR(__xludf.DUMMYFUNCTION("IMPORTRANGE(""https://docs.google.com/spreadsheets/d/1-uDff_7J0KD5mKrp0Vvzr7lt3OU09vwQwhkpOPPYv2Y/edit?usp=sharing"",""งบพรบ!EP57"")"),0)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IFERROR(__xludf.DUMMYFUNCTION("IMPORTRANGE(""https://docs.google.com/spreadsheets/d/1-uDff_7J0KD5mKrp0Vvzr7lt3OU09vwQwhkpOPPYv2Y/edit?usp=sharing"",""งบพรบ!EL57"")"),0)</f>
        <v>0</v>
      </c>
      <c r="M328" s="427">
        <f ca="1">IFERROR(__xludf.DUMMYFUNCTION("IMPORTRANGE(""https://docs.google.com/spreadsheets/d/1-uDff_7J0KD5mKrp0Vvzr7lt3OU09vwQwhkpOPPYv2Y/edit?usp=sharing"",""งบพรบ!EO57"")"),0)</f>
        <v>0</v>
      </c>
      <c r="N328" s="427">
        <f ca="1">IFERROR(__xludf.DUMMYFUNCTION("IMPORTRANGE(""https://docs.google.com/spreadsheets/d/1-uDff_7J0KD5mKrp0Vvzr7lt3OU09vwQwhkpOPPYv2Y/edit?usp=sharing"",""งบพรบ!EQ57"")"),0)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IFERROR(__xludf.DUMMYFUNCTION("IMPORTRANGE(""https://docs.google.com/spreadsheets/d/1eHaY18a8A9IcSdp1K8H6x8fbOy06t2VsZHhMHf-1x7Y/edit?usp=sharing"",""แผน!EJ57"")"),0)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540</v>
      </c>
      <c r="J332" s="404">
        <f ca="1">J344+J347+J348+J349+J353</f>
        <v>1266</v>
      </c>
      <c r="K332" s="405">
        <f ca="1">IF(I332&gt;0,J332*100/I332,0)</f>
        <v>234.44444444444446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103000</v>
      </c>
      <c r="M333" s="737">
        <f ca="1">M334+M335</f>
        <v>83350</v>
      </c>
      <c r="N333" s="737">
        <f ca="1">N334+N335</f>
        <v>30320</v>
      </c>
      <c r="O333" s="737">
        <f ca="1">IF(L333&gt;0,N333*100/L333,0)</f>
        <v>29.436893203883496</v>
      </c>
      <c r="P333" s="737">
        <f ca="1">IF(M333&gt;0,N333*100/M333,0)</f>
        <v>36.376724655068983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103000</v>
      </c>
      <c r="M335" s="427">
        <f ca="1">M338+M341</f>
        <v>83350</v>
      </c>
      <c r="N335" s="427">
        <f ca="1">N338+N341</f>
        <v>30320</v>
      </c>
      <c r="O335" s="427">
        <f ca="1">IF(L335&gt;0,N335*100/L335,0)</f>
        <v>29.436893203883496</v>
      </c>
      <c r="P335" s="427">
        <f ca="1">IF(M335&gt;0,N335*100/M335,0)</f>
        <v>36.376724655068983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103000</v>
      </c>
      <c r="M336" s="427">
        <f ca="1">M337+M338</f>
        <v>83350</v>
      </c>
      <c r="N336" s="427">
        <f ca="1">N337+N338</f>
        <v>30320</v>
      </c>
      <c r="O336" s="427">
        <f ca="1">IF(L336&gt;0,N336*100/L336,0)</f>
        <v>29.436893203883496</v>
      </c>
      <c r="P336" s="427">
        <f ca="1">IF(M336&gt;0,N336*100/M336,0)</f>
        <v>36.376724655068983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IFERROR(__xludf.DUMMYFUNCTION("IMPORTRANGE(""https://docs.google.com/spreadsheets/d/1-uDff_7J0KD5mKrp0Vvzr7lt3OU09vwQwhkpOPPYv2Y/edit?usp=sharing"",""งบพรบ!ES57"")"),103000)</f>
        <v>103000</v>
      </c>
      <c r="M338" s="427">
        <f ca="1">IFERROR(__xludf.DUMMYFUNCTION("IMPORTRANGE(""https://docs.google.com/spreadsheets/d/1-uDff_7J0KD5mKrp0Vvzr7lt3OU09vwQwhkpOPPYv2Y/edit?usp=sharing"",""งบพรบ!EX57"")"),83350)</f>
        <v>83350</v>
      </c>
      <c r="N338" s="427">
        <f ca="1">IFERROR(__xludf.DUMMYFUNCTION("IMPORTRANGE(""https://docs.google.com/spreadsheets/d/1-uDff_7J0KD5mKrp0Vvzr7lt3OU09vwQwhkpOPPYv2Y/edit?usp=sharing"",""งบพรบ!EZ57"")"),30320)</f>
        <v>30320</v>
      </c>
      <c r="O338" s="427">
        <f ca="1">IF(L338&gt;0,N338*100/L338,0)</f>
        <v>29.436893203883496</v>
      </c>
      <c r="P338" s="427">
        <f ca="1">IF(M338&gt;0,N338*100/M338,0)</f>
        <v>36.376724655068983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IFERROR(__xludf.DUMMYFUNCTION("IMPORTRANGE(""https://docs.google.com/spreadsheets/d/1-uDff_7J0KD5mKrp0Vvzr7lt3OU09vwQwhkpOPPYv2Y/edit?usp=sharing"",""งบพรบ!EV57"")"),0)</f>
        <v>0</v>
      </c>
      <c r="M341" s="427">
        <f ca="1">IFERROR(__xludf.DUMMYFUNCTION("IMPORTRANGE(""https://docs.google.com/spreadsheets/d/1-uDff_7J0KD5mKrp0Vvzr7lt3OU09vwQwhkpOPPYv2Y/edit?usp=sharing"",""งบพรบ!EY57"")"),0)</f>
        <v>0</v>
      </c>
      <c r="N341" s="427">
        <f ca="1">IFERROR(__xludf.DUMMYFUNCTION("IMPORTRANGE(""https://docs.google.com/spreadsheets/d/1-uDff_7J0KD5mKrp0Vvzr7lt3OU09vwQwhkpOPPYv2Y/edit?usp=sharing"",""งบพรบ!FA57"")"),0)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232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IFERROR(__xludf.DUMMYFUNCTION("IMPORTRANGE(""https://docs.google.com/spreadsheets/d/1eHaY18a8A9IcSdp1K8H6x8fbOy06t2VsZHhMHf-1x7Y/edit?usp=sharing"",""แผน!EK57"")"),540)</f>
        <v>540</v>
      </c>
      <c r="J344" s="426">
        <f ca="1">IFERROR(__xludf.DUMMYFUNCTION("IMPORTRANGE(""https://docs.google.com/spreadsheets/d/1awYsYK3VOup2i3Pq_Yjnu8DRu_mYwSBnCR2QPthd0rU/edit?usp=sharing"",""ศูนย์ยกเว้นโฉนด!D57"")"),230)</f>
        <v>230</v>
      </c>
      <c r="K344" s="427">
        <f ca="1">IF(I344&gt;0,J344*100/I344,0)</f>
        <v>42.592592592592595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IFERROR(__xludf.DUMMYFUNCTION("IMPORTRANGE(""https://docs.google.com/spreadsheets/d/1eHaY18a8A9IcSdp1K8H6x8fbOy06t2VsZHhMHf-1x7Y/edit?usp=sharing"",""แผน!EL57"")"),3)</f>
        <v>3</v>
      </c>
      <c r="J346" s="426">
        <f ca="1">IFERROR(__xludf.DUMMYFUNCTION("IMPORTRANGE(""https://docs.google.com/spreadsheets/d/1awYsYK3VOup2i3Pq_Yjnu8DRu_mYwSBnCR2QPthd0rU/edit?usp=sharing"",""ศูนย์รวม!E57"")"),7)</f>
        <v>7</v>
      </c>
      <c r="K346" s="427">
        <f ca="1">IF(I346&gt;0,J346*100/I346,0)</f>
        <v>233.33333333333334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IFERROR(__xludf.DUMMYFUNCTION("IMPORTRANGE(""https://docs.google.com/spreadsheets/d/1awYsYK3VOup2i3Pq_Yjnu8DRu_mYwSBnCR2QPthd0rU/edit?usp=sharing"",""ศูนย์ยกเว้นโฉนด!F57"")"),0)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IFERROR(__xludf.DUMMYFUNCTION("IMPORTRANGE(""https://docs.google.com/spreadsheets/d/1awYsYK3VOup2i3Pq_Yjnu8DRu_mYwSBnCR2QPthd0rU/edit?usp=sharing"",""ศูนย์ยกเว้นโฉนด!G57"")"),2)</f>
        <v>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IFERROR(__xludf.DUMMYFUNCTION("IMPORTRANGE(""https://docs.google.com/spreadsheets/d/1awYsYK3VOup2i3Pq_Yjnu8DRu_mYwSBnCR2QPthd0rU/edit?usp=sharing"",""ศูนย์ยกเว้นโฉนด!H57"")"),0)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1034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IFERROR(__xludf.DUMMYFUNCTION("IMPORTRANGE(""https://docs.google.com/spreadsheets/d/1awYsYK3VOup2i3Pq_Yjnu8DRu_mYwSBnCR2QPthd0rU/edit?usp=sharing"",""โฉนดM3!G57"")"),0)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IFERROR(__xludf.DUMMYFUNCTION("IMPORTRANGE(""https://docs.google.com/spreadsheets/d/1awYsYK3VOup2i3Pq_Yjnu8DRu_mYwSBnCR2QPthd0rU/edit?usp=sharing"",""โฉนดM3!H57"")"),1034)</f>
        <v>1034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368685</v>
      </c>
      <c r="M356" s="737">
        <f ca="1">M357+M358</f>
        <v>298685</v>
      </c>
      <c r="N356" s="737">
        <f ca="1">N357+N358</f>
        <v>116150</v>
      </c>
      <c r="O356" s="737">
        <f ca="1">IF(L356&gt;0,N356*100/L356,0)</f>
        <v>31.503858307227038</v>
      </c>
      <c r="P356" s="737">
        <f ca="1">IF(M356&gt;0,N356*100/M356,0)</f>
        <v>38.887121884259336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368685</v>
      </c>
      <c r="M358" s="427">
        <f ca="1">M361+M364</f>
        <v>298685</v>
      </c>
      <c r="N358" s="427">
        <f ca="1">N361+N364</f>
        <v>116150</v>
      </c>
      <c r="O358" s="427">
        <f ca="1">IF(L358&gt;0,N358*100/L358,0)</f>
        <v>31.503858307227038</v>
      </c>
      <c r="P358" s="427">
        <f ca="1">IF(M358&gt;0,N358*100/M358,0)</f>
        <v>38.887121884259336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368685</v>
      </c>
      <c r="M359" s="427">
        <f ca="1">M360+M361</f>
        <v>298685</v>
      </c>
      <c r="N359" s="427">
        <f ca="1">N360+N361</f>
        <v>116150</v>
      </c>
      <c r="O359" s="427">
        <f ca="1">IF(L359&gt;0,N359*100/L359,0)</f>
        <v>31.503858307227038</v>
      </c>
      <c r="P359" s="427">
        <f ca="1">IF(M359&gt;0,N359*100/M359,0)</f>
        <v>38.887121884259336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IFERROR(__xludf.DUMMYFUNCTION("IMPORTRANGE(""https://docs.google.com/spreadsheets/d/1-uDff_7J0KD5mKrp0Vvzr7lt3OU09vwQwhkpOPPYv2Y/edit?usp=sharing"",""งบพรบ!FC57"")"),368685)</f>
        <v>368685</v>
      </c>
      <c r="M361" s="427">
        <f ca="1">IFERROR(__xludf.DUMMYFUNCTION("IMPORTRANGE(""https://docs.google.com/spreadsheets/d/1-uDff_7J0KD5mKrp0Vvzr7lt3OU09vwQwhkpOPPYv2Y/edit?usp=sharing"",""งบพรบ!FH57"")"),298685)</f>
        <v>298685</v>
      </c>
      <c r="N361" s="427">
        <f ca="1">IFERROR(__xludf.DUMMYFUNCTION("IMPORTRANGE(""https://docs.google.com/spreadsheets/d/1-uDff_7J0KD5mKrp0Vvzr7lt3OU09vwQwhkpOPPYv2Y/edit?usp=sharing"",""งบพรบ!FJ57"")"),116150)</f>
        <v>116150</v>
      </c>
      <c r="O361" s="427">
        <f ca="1">IF(L361&gt;0,N361*100/L361,0)</f>
        <v>31.503858307227038</v>
      </c>
      <c r="P361" s="427">
        <f ca="1">IF(M361&gt;0,N361*100/M361,0)</f>
        <v>38.887121884259336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IFERROR(__xludf.DUMMYFUNCTION("IMPORTRANGE(""https://docs.google.com/spreadsheets/d/1-uDff_7J0KD5mKrp0Vvzr7lt3OU09vwQwhkpOPPYv2Y/edit?usp=sharing"",""งบพรบ!FF57"")"),0)</f>
        <v>0</v>
      </c>
      <c r="M364" s="427">
        <f ca="1">IFERROR(__xludf.DUMMYFUNCTION("IMPORTRANGE(""https://docs.google.com/spreadsheets/d/1-uDff_7J0KD5mKrp0Vvzr7lt3OU09vwQwhkpOPPYv2Y/edit?usp=sharing"",""งบพรบ!FI57"")"),0)</f>
        <v>0</v>
      </c>
      <c r="N364" s="427">
        <f ca="1">IFERROR(__xludf.DUMMYFUNCTION("IMPORTRANGE(""https://docs.google.com/spreadsheets/d/1-uDff_7J0KD5mKrp0Vvzr7lt3OU09vwQwhkpOPPYv2Y/edit?usp=sharing"",""งบพรบ!FK57"")"),0)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42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IFERROR(__xludf.DUMMYFUNCTION("IMPORTRANGE(""https://docs.google.com/spreadsheets/d/1tdoBKaGub7dwA3U6UFTqxio9LNnvDCQjHKmttSEBsFQ/edit?usp=sharing"",""จัดที่ดิน!AB57"")"),0)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IFERROR(__xludf.DUMMYFUNCTION("IMPORTRANGE(""https://docs.google.com/spreadsheets/d/1eHaY18a8A9IcSdp1K8H6x8fbOy06t2VsZHhMHf-1x7Y/edit?usp=sharing"",""แผน!EW57"")"),265)</f>
        <v>265</v>
      </c>
      <c r="J368" s="726">
        <f ca="1">IFERROR(__xludf.DUMMYFUNCTION("IMPORTRANGE(""https://docs.google.com/spreadsheets/d/1tdoBKaGub7dwA3U6UFTqxio9LNnvDCQjHKmttSEBsFQ/edit?usp=sharing"",""จัดที่ดิน!AC57"")"),0)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IFERROR(__xludf.DUMMYFUNCTION("IMPORTRANGE(""https://docs.google.com/spreadsheets/d/1eHaY18a8A9IcSdp1K8H6x8fbOy06t2VsZHhMHf-1x7Y/edit?usp=sharing"",""แผน!EX57"")"),53)</f>
        <v>53</v>
      </c>
      <c r="J369" s="426">
        <f ca="1">IFERROR(__xludf.DUMMYFUNCTION("IMPORTRANGE(""https://docs.google.com/spreadsheets/d/1tdoBKaGub7dwA3U6UFTqxio9LNnvDCQjHKmttSEBsFQ/edit?usp=sharing"",""จัดที่ดิน!AD57"")"),0)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IFERROR(__xludf.DUMMYFUNCTION("IMPORTRANGE(""https://docs.google.com/spreadsheets/d/1tdoBKaGub7dwA3U6UFTqxio9LNnvDCQjHKmttSEBsFQ/edit?usp=sharing"",""จัดที่ดิน!AE57"")"),0)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IFERROR(__xludf.DUMMYFUNCTION("IMPORTRANGE(""https://docs.google.com/spreadsheets/d/1eHaY18a8A9IcSdp1K8H6x8fbOy06t2VsZHhMHf-1x7Y/edit?usp=sharing"",""แผน!EY57"")"),42)</f>
        <v>42</v>
      </c>
      <c r="J371" s="426">
        <f ca="1">IFERROR(__xludf.DUMMYFUNCTION("IMPORTRANGE(""https://docs.google.com/spreadsheets/d/1tdoBKaGub7dwA3U6UFTqxio9LNnvDCQjHKmttSEBsFQ/edit?usp=sharing"",""จัดที่ดิน!AF57"")"),0)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IFERROR(__xludf.DUMMYFUNCTION("IMPORTRANGE(""https://docs.google.com/spreadsheets/d/1tdoBKaGub7dwA3U6UFTqxio9LNnvDCQjHKmttSEBsFQ/edit?usp=sharing"",""จัดที่ดิน!AG57"")"),0)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IFERROR(__xludf.DUMMYFUNCTION("IMPORTRANGE(""https://docs.google.com/spreadsheets/d/1-uDff_7J0KD5mKrp0Vvzr7lt3OU09vwQwhkpOPPYv2Y/edit?usp=sharing"",""งบพรบ!FM57"")"),0)</f>
        <v>0</v>
      </c>
      <c r="M382" s="522">
        <f ca="1">IFERROR(__xludf.DUMMYFUNCTION("IMPORTRANGE(""https://docs.google.com/spreadsheets/d/1-uDff_7J0KD5mKrp0Vvzr7lt3OU09vwQwhkpOPPYv2Y/edit?usp=sharing"",""งบพรบ!FR57"")"),0)</f>
        <v>0</v>
      </c>
      <c r="N382" s="522">
        <f ca="1">IFERROR(__xludf.DUMMYFUNCTION("IMPORTRANGE(""https://docs.google.com/spreadsheets/d/1-uDff_7J0KD5mKrp0Vvzr7lt3OU09vwQwhkpOPPYv2Y/edit?usp=sharing"",""งบพรบ!FT57"")"),0)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IFERROR(__xludf.DUMMYFUNCTION("IMPORTRANGE(""https://docs.google.com/spreadsheets/d/1-uDff_7J0KD5mKrp0Vvzr7lt3OU09vwQwhkpOPPYv2Y/edit?usp=sharing"",""งบพรบ!FP57"")"),0)</f>
        <v>0</v>
      </c>
      <c r="M385" s="522">
        <f ca="1">IFERROR(__xludf.DUMMYFUNCTION("IMPORTRANGE(""https://docs.google.com/spreadsheets/d/1-uDff_7J0KD5mKrp0Vvzr7lt3OU09vwQwhkpOPPYv2Y/edit?usp=sharing"",""งบพรบ!FS57"")"),0)</f>
        <v>0</v>
      </c>
      <c r="N385" s="522">
        <f ca="1">IFERROR(__xludf.DUMMYFUNCTION("IMPORTRANGE(""https://docs.google.com/spreadsheets/d/1-uDff_7J0KD5mKrp0Vvzr7lt3OU09vwQwhkpOPPYv2Y/edit?usp=sharing"",""งบพรบ!FU57"")"),0)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3F373-ED1F-4F88-99AB-D2548078990D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169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1301350</v>
      </c>
      <c r="M18" s="865">
        <f ca="1">M19+M20</f>
        <v>1061430</v>
      </c>
      <c r="N18" s="865">
        <f ca="1">N19+N20</f>
        <v>319760.98</v>
      </c>
      <c r="O18" s="865">
        <f ca="1">IF(L18&gt;0,N18*100/L18,0)</f>
        <v>24.571481922618819</v>
      </c>
      <c r="P18" s="865">
        <f ca="1">IF(M18&gt;0,N18*100/M18,0)</f>
        <v>30.125489198534051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1301350</v>
      </c>
      <c r="M20" s="972">
        <f ca="1">M23+M26</f>
        <v>1061430</v>
      </c>
      <c r="N20" s="972">
        <f ca="1">N23+N26</f>
        <v>319760.98</v>
      </c>
      <c r="O20" s="972">
        <f ca="1">IF(L20&gt;0,N20*100/L20,0)</f>
        <v>24.571481922618819</v>
      </c>
      <c r="P20" s="972">
        <f ca="1">IF(M20&gt;0,N20*100/M20,0)</f>
        <v>30.125489198534051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1301350</v>
      </c>
      <c r="M21" s="427">
        <f ca="1">M22+M23</f>
        <v>1061430</v>
      </c>
      <c r="N21" s="427">
        <f ca="1">N22+N23</f>
        <v>319760.98</v>
      </c>
      <c r="O21" s="427">
        <f ca="1">IF(L21&gt;0,N21*100/L21,0)</f>
        <v>24.571481922618819</v>
      </c>
      <c r="P21" s="427">
        <f ca="1">IF(M21&gt;0,N21*100/M21,0)</f>
        <v>30.125489198534051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1301350</v>
      </c>
      <c r="M23" s="427">
        <f ca="1">M49+M64+M77+M99+M130+M144+M162+M191+M178+M271+M287+M308+M325+M338+M361+M382</f>
        <v>1061430</v>
      </c>
      <c r="N23" s="427">
        <f ca="1">N49+N64+N77+N99+N130+N144+N162+N191+N178+N271+N287+N308+N325+N338+N361+N382</f>
        <v>319760.98</v>
      </c>
      <c r="O23" s="427">
        <f ca="1">IF(L23&gt;0,N23*100/L23,0)</f>
        <v>24.571481922618819</v>
      </c>
      <c r="P23" s="427">
        <f ca="1">IF(M23&gt;0,N23*100/M23,0)</f>
        <v>30.125489198534051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1301350</v>
      </c>
      <c r="M40" s="964">
        <f ca="1">M44+M59+M72+M94+M125+M139+M157+M173+M186+M266+M282+M303+M320+M333+M356</f>
        <v>1061430</v>
      </c>
      <c r="N40" s="964">
        <f ca="1">N44+N59+N72+N94+N125+N139+N157+N173+N186+N266+N282+N303+N320+N333+N356</f>
        <v>319760.98</v>
      </c>
      <c r="O40" s="964">
        <f ca="1">IF(L40&gt;0,N40*100/L40,0)</f>
        <v>24.571481922618819</v>
      </c>
      <c r="P40" s="964">
        <f ca="1">IF(M40&gt;0,N40*100/M40,0)</f>
        <v>30.125489198534051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189350</v>
      </c>
      <c r="M44" s="949">
        <f ca="1">M45+M46</f>
        <v>195830</v>
      </c>
      <c r="N44" s="949">
        <f ca="1">N45+N46</f>
        <v>78480</v>
      </c>
      <c r="O44" s="949">
        <f ca="1">IF(L44&gt;0,N44*100/L44,0)</f>
        <v>41.447055716926329</v>
      </c>
      <c r="P44" s="949">
        <f ca="1">IF(M44&gt;0,N44*100/M44,0)</f>
        <v>40.07557575448093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189350</v>
      </c>
      <c r="M46" s="941">
        <f ca="1">M49+M52</f>
        <v>195830</v>
      </c>
      <c r="N46" s="941">
        <f ca="1">N49+N52</f>
        <v>78480</v>
      </c>
      <c r="O46" s="941">
        <f ca="1">IF(L46&gt;0,N46*100/L46,0)</f>
        <v>41.447055716926329</v>
      </c>
      <c r="P46" s="941">
        <f ca="1">IF(M46&gt;0,N46*100/M46,0)</f>
        <v>40.07557575448093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189350</v>
      </c>
      <c r="M47" s="427">
        <f ca="1">M48+M49</f>
        <v>195830</v>
      </c>
      <c r="N47" s="427">
        <f ca="1">N48+N49</f>
        <v>78480</v>
      </c>
      <c r="O47" s="427">
        <f ca="1">IF(L47&gt;0,N47*100/L47,0)</f>
        <v>41.447055716926329</v>
      </c>
      <c r="P47" s="427">
        <f ca="1">IF(M47&gt;0,N47*100/M47,0)</f>
        <v>40.07557575448093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IFERROR(__xludf.DUMMYFUNCTION("IMPORTRANGE(""https://docs.google.com/spreadsheets/d/1-uDff_7J0KD5mKrp0Vvzr7lt3OU09vwQwhkpOPPYv2Y/edit?usp=sharing"",""งบพรบ!P58"")"),189350)</f>
        <v>189350</v>
      </c>
      <c r="M49" s="427">
        <f ca="1">IFERROR(__xludf.DUMMYFUNCTION("IMPORTRANGE(""https://docs.google.com/spreadsheets/d/1-uDff_7J0KD5mKrp0Vvzr7lt3OU09vwQwhkpOPPYv2Y/edit?usp=sharing"",""งบพรบ!V58"")"),195830)</f>
        <v>195830</v>
      </c>
      <c r="N49" s="427">
        <f ca="1">IFERROR(__xludf.DUMMYFUNCTION("IMPORTRANGE(""https://docs.google.com/spreadsheets/d/1-uDff_7J0KD5mKrp0Vvzr7lt3OU09vwQwhkpOPPYv2Y/edit?usp=sharing"",""งบพรบ!Y58"")"),78480)</f>
        <v>78480</v>
      </c>
      <c r="O49" s="427">
        <f ca="1">IF(L49&gt;0,N49*100/L49,0)</f>
        <v>41.447055716926329</v>
      </c>
      <c r="P49" s="427">
        <f ca="1">IF(M49&gt;0,N49*100/M49,0)</f>
        <v>40.07557575448093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IFERROR(__xludf.DUMMYFUNCTION("IMPORTRANGE(""https://docs.google.com/spreadsheets/d/1-uDff_7J0KD5mKrp0Vvzr7lt3OU09vwQwhkpOPPYv2Y/edit?usp=sharing"",""งบพรบ!S58"")"),0)</f>
        <v>0</v>
      </c>
      <c r="M52" s="427">
        <f ca="1">IFERROR(__xludf.DUMMYFUNCTION("IMPORTRANGE(""https://docs.google.com/spreadsheets/d/1-uDff_7J0KD5mKrp0Vvzr7lt3OU09vwQwhkpOPPYv2Y/edit?usp=sharing"",""งบพรบ!W58"")"),0)</f>
        <v>0</v>
      </c>
      <c r="N52" s="427">
        <f ca="1">IFERROR(__xludf.DUMMYFUNCTION("IMPORTRANGE(""https://docs.google.com/spreadsheets/d/1-uDff_7J0KD5mKrp0Vvzr7lt3OU09vwQwhkpOPPYv2Y/edit?usp=sharing"",""งบพรบ!Z58"")"),0)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429400</v>
      </c>
      <c r="M59" s="921">
        <f ca="1">M60+M61</f>
        <v>323950</v>
      </c>
      <c r="N59" s="921">
        <f ca="1">N60+N61</f>
        <v>66620.98</v>
      </c>
      <c r="O59" s="921">
        <f ca="1">IF(L59&gt;0,N59*100/L59,0)</f>
        <v>15.514899860270145</v>
      </c>
      <c r="P59" s="921">
        <f ca="1">IF(M59&gt;0,N59*100/M59,0)</f>
        <v>20.565204506868344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429400</v>
      </c>
      <c r="M61" s="913">
        <f ca="1">M64+M67</f>
        <v>323950</v>
      </c>
      <c r="N61" s="913">
        <f ca="1">N64+N67</f>
        <v>66620.98</v>
      </c>
      <c r="O61" s="913">
        <f ca="1">IF(L61&gt;0,N61*100/L61,0)</f>
        <v>15.514899860270145</v>
      </c>
      <c r="P61" s="913">
        <f ca="1">IF(M61&gt;0,N61*100/M61,0)</f>
        <v>20.565204506868344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429400</v>
      </c>
      <c r="M62" s="427">
        <f ca="1">M63+M64</f>
        <v>323950</v>
      </c>
      <c r="N62" s="427">
        <f ca="1">N63+N64</f>
        <v>66620.98</v>
      </c>
      <c r="O62" s="427">
        <f ca="1">IF(L62&gt;0,N62*100/L62,0)</f>
        <v>15.514899860270145</v>
      </c>
      <c r="P62" s="427">
        <f ca="1">IF(M62&gt;0,N62*100/M62,0)</f>
        <v>20.565204506868344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IFERROR(__xludf.DUMMYFUNCTION("IMPORTRANGE(""https://docs.google.com/spreadsheets/d/1-uDff_7J0KD5mKrp0Vvzr7lt3OU09vwQwhkpOPPYv2Y/edit?usp=sharing"",""งบพรบ!AC58"")"),429400)</f>
        <v>429400</v>
      </c>
      <c r="M64" s="427">
        <f ca="1">IFERROR(__xludf.DUMMYFUNCTION("IMPORTRANGE(""https://docs.google.com/spreadsheets/d/1-uDff_7J0KD5mKrp0Vvzr7lt3OU09vwQwhkpOPPYv2Y/edit?usp=sharing"",""งบพรบ!AH58"")"),323950)</f>
        <v>323950</v>
      </c>
      <c r="N64" s="427">
        <f ca="1">IFERROR(__xludf.DUMMYFUNCTION("IMPORTRANGE(""https://docs.google.com/spreadsheets/d/1-uDff_7J0KD5mKrp0Vvzr7lt3OU09vwQwhkpOPPYv2Y/edit?usp=sharing"",""งบพรบ!AJ58"")"),66620.98)</f>
        <v>66620.98</v>
      </c>
      <c r="O64" s="427">
        <f ca="1">IF(L64&gt;0,N64*100/L64,0)</f>
        <v>15.514899860270145</v>
      </c>
      <c r="P64" s="427">
        <f ca="1">IF(M64&gt;0,N64*100/M64,0)</f>
        <v>20.565204506868344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IFERROR(__xludf.DUMMYFUNCTION("IMPORTRANGE(""https://docs.google.com/spreadsheets/d/1-uDff_7J0KD5mKrp0Vvzr7lt3OU09vwQwhkpOPPYv2Y/edit?usp=sharing"",""งบพรบ!AF58"")"),0)</f>
        <v>0</v>
      </c>
      <c r="M67" s="644">
        <f ca="1">IFERROR(__xludf.DUMMYFUNCTION("IMPORTRANGE(""https://docs.google.com/spreadsheets/d/1-uDff_7J0KD5mKrp0Vvzr7lt3OU09vwQwhkpOPPYv2Y/edit?usp=sharing"",""งบพรบ!AI58"")"),0)</f>
        <v>0</v>
      </c>
      <c r="N67" s="644">
        <f ca="1">IFERROR(__xludf.DUMMYFUNCTION("IMPORTRANGE(""https://docs.google.com/spreadsheets/d/1-uDff_7J0KD5mKrp0Vvzr7lt3OU09vwQwhkpOPPYv2Y/edit?usp=sharing"",""งบพรบ!AK58"")"),0)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IFERROR(__xludf.DUMMYFUNCTION("IMPORTRANGE(""https://docs.google.com/spreadsheets/d/1-uDff_7J0KD5mKrp0Vvzr7lt3OU09vwQwhkpOPPYv2Y/edit?usp=sharing"",""งบพรบ!AM58"")"),0)</f>
        <v>0</v>
      </c>
      <c r="M77" s="427">
        <f ca="1">IFERROR(__xludf.DUMMYFUNCTION("IMPORTRANGE(""https://docs.google.com/spreadsheets/d/1-uDff_7J0KD5mKrp0Vvzr7lt3OU09vwQwhkpOPPYv2Y/edit?usp=sharing"",""งบพรบ!AR58"")"),0)</f>
        <v>0</v>
      </c>
      <c r="N77" s="427">
        <f ca="1">IFERROR(__xludf.DUMMYFUNCTION("IMPORTRANGE(""https://docs.google.com/spreadsheets/d/1-uDff_7J0KD5mKrp0Vvzr7lt3OU09vwQwhkpOPPYv2Y/edit?usp=sharing"",""งบพรบ!AT58"")"),0)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IFERROR(__xludf.DUMMYFUNCTION("IMPORTRANGE(""https://docs.google.com/spreadsheets/d/1-uDff_7J0KD5mKrp0Vvzr7lt3OU09vwQwhkpOPPYv2Y/edit?usp=sharing"",""งบพรบ!AP58"")"),0)</f>
        <v>0</v>
      </c>
      <c r="M80" s="427">
        <f ca="1">IFERROR(__xludf.DUMMYFUNCTION("IMPORTRANGE(""https://docs.google.com/spreadsheets/d/1-uDff_7J0KD5mKrp0Vvzr7lt3OU09vwQwhkpOPPYv2Y/edit?usp=sharing"",""งบพรบ!AS58"")"),0)</f>
        <v>0</v>
      </c>
      <c r="N80" s="427">
        <f ca="1">IFERROR(__xludf.DUMMYFUNCTION("IMPORTRANGE(""https://docs.google.com/spreadsheets/d/1-uDff_7J0KD5mKrp0Vvzr7lt3OU09vwQwhkpOPPYv2Y/edit?usp=sharing"",""งบพรบ!AU58"")"),0)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IFERROR(__xludf.DUMMYFUNCTION("IMPORTRANGE(""https://docs.google.com/spreadsheets/d/1eHaY18a8A9IcSdp1K8H6x8fbOy06t2VsZHhMHf-1x7Y/edit?usp=sharing"",""แผน!H58"")"),0)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IFERROR(__xludf.DUMMYFUNCTION("IMPORTRANGE(""https://docs.google.com/spreadsheets/d/1eHaY18a8A9IcSdp1K8H6x8fbOy06t2VsZHhMHf-1x7Y/edit?usp=sharing"",""แผน!I58"")"),0)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IFERROR(__xludf.DUMMYFUNCTION("IMPORTRANGE(""https://docs.google.com/spreadsheets/d/1eHaY18a8A9IcSdp1K8H6x8fbOy06t2VsZHhMHf-1x7Y/edit?usp=sharing"",""แผน!F58"")"),0)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IFERROR(__xludf.DUMMYFUNCTION("IMPORTRANGE(""https://docs.google.com/spreadsheets/d/1eHaY18a8A9IcSdp1K8H6x8fbOy06t2VsZHhMHf-1x7Y/edit?usp=sharing"",""แผน!G58"")"),0)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IFERROR(__xludf.DUMMYFUNCTION("IMPORTRANGE(""https://docs.google.com/spreadsheets/d/1eHaY18a8A9IcSdp1K8H6x8fbOy06t2VsZHhMHf-1x7Y/edit?usp=sharing"",""แผน!D58"")"),0)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IFERROR(__xludf.DUMMYFUNCTION("IMPORTRANGE(""https://docs.google.com/spreadsheets/d/1eHaY18a8A9IcSdp1K8H6x8fbOy06t2VsZHhMHf-1x7Y/edit?usp=sharing"",""แผน!E58"")"),0)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IFERROR(__xludf.DUMMYFUNCTION("IMPORTRANGE(""https://docs.google.com/spreadsheets/d/1eHaY18a8A9IcSdp1K8H6x8fbOy06t2VsZHhMHf-1x7Y/edit?usp=sharing"",""แผน!J58"")"),0)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IFERROR(__xludf.DUMMYFUNCTION("IMPORTRANGE(""https://docs.google.com/spreadsheets/d/1-uDff_7J0KD5mKrp0Vvzr7lt3OU09vwQwhkpOPPYv2Y/edit?usp=sharing"",""งบพรบ!AW58"")"),0)</f>
        <v>0</v>
      </c>
      <c r="M99" s="427">
        <f ca="1">IFERROR(__xludf.DUMMYFUNCTION("IMPORTRANGE(""https://docs.google.com/spreadsheets/d/1-uDff_7J0KD5mKrp0Vvzr7lt3OU09vwQwhkpOPPYv2Y/edit?usp=sharing"",""งบพรบ!BB58"")"),0)</f>
        <v>0</v>
      </c>
      <c r="N99" s="427">
        <f ca="1">IFERROR(__xludf.DUMMYFUNCTION("IMPORTRANGE(""https://docs.google.com/spreadsheets/d/1-uDff_7J0KD5mKrp0Vvzr7lt3OU09vwQwhkpOPPYv2Y/edit?usp=sharing"",""งบพรบ!BD58"")"),0)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IFERROR(__xludf.DUMMYFUNCTION("IMPORTRANGE(""https://docs.google.com/spreadsheets/d/1-uDff_7J0KD5mKrp0Vvzr7lt3OU09vwQwhkpOPPYv2Y/edit?usp=sharing"",""งบพรบ!AZ58"")"),0)</f>
        <v>0</v>
      </c>
      <c r="M102" s="427">
        <f ca="1">IFERROR(__xludf.DUMMYFUNCTION("IMPORTRANGE(""https://docs.google.com/spreadsheets/d/1-uDff_7J0KD5mKrp0Vvzr7lt3OU09vwQwhkpOPPYv2Y/edit?usp=sharing"",""งบพรบ!BC58"")"),0)</f>
        <v>0</v>
      </c>
      <c r="N102" s="427">
        <f ca="1">IFERROR(__xludf.DUMMYFUNCTION("IMPORTRANGE(""https://docs.google.com/spreadsheets/d/1-uDff_7J0KD5mKrp0Vvzr7lt3OU09vwQwhkpOPPYv2Y/edit?usp=sharing"",""งบพรบ!BE58"")"),0)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IFERROR(__xludf.DUMMYFUNCTION("IMPORTRANGE(""https://docs.google.com/spreadsheets/d/1eHaY18a8A9IcSdp1K8H6x8fbOy06t2VsZHhMHf-1x7Y/edit?usp=sharing"",""แผน!N58"")"),0)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IFERROR(__xludf.DUMMYFUNCTION("IMPORTRANGE(""https://docs.google.com/spreadsheets/d/1eHaY18a8A9IcSdp1K8H6x8fbOy06t2VsZHhMHf-1x7Y/edit?usp=sharing"",""แผน!O58"")"),0)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IFERROR(__xludf.DUMMYFUNCTION("IMPORTRANGE(""https://docs.google.com/spreadsheets/d/1eHaY18a8A9IcSdp1K8H6x8fbOy06t2VsZHhMHf-1x7Y/edit?usp=sharing"",""แผน!R58"")"),0)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IFERROR(__xludf.DUMMYFUNCTION("IMPORTRANGE(""https://docs.google.com/spreadsheets/d/1-uDff_7J0KD5mKrp0Vvzr7lt3OU09vwQwhkpOPPYv2Y/edit?usp=sharing"",""งบพรบ!BG58"")"),0)</f>
        <v>0</v>
      </c>
      <c r="M130" s="886">
        <f ca="1">IFERROR(__xludf.DUMMYFUNCTION("IMPORTRANGE(""https://docs.google.com/spreadsheets/d/1-uDff_7J0KD5mKrp0Vvzr7lt3OU09vwQwhkpOPPYv2Y/edit?usp=sharing"",""งบพรบ!BL58"")"),0)</f>
        <v>0</v>
      </c>
      <c r="N130" s="886">
        <f ca="1">IFERROR(__xludf.DUMMYFUNCTION("IMPORTRANGE(""https://docs.google.com/spreadsheets/d/1-uDff_7J0KD5mKrp0Vvzr7lt3OU09vwQwhkpOPPYv2Y/edit?usp=sharing"",""งบพรบ!BN58"")"),0)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IFERROR(__xludf.DUMMYFUNCTION("IMPORTRANGE(""https://docs.google.com/spreadsheets/d/1-uDff_7J0KD5mKrp0Vvzr7lt3OU09vwQwhkpOPPYv2Y/edit?usp=sharing"",""งบพรบ!BJ58"")"),0)</f>
        <v>0</v>
      </c>
      <c r="M133" s="886">
        <f ca="1">IFERROR(__xludf.DUMMYFUNCTION("IMPORTRANGE(""https://docs.google.com/spreadsheets/d/1-uDff_7J0KD5mKrp0Vvzr7lt3OU09vwQwhkpOPPYv2Y/edit?usp=sharing"",""งบพรบ!BM58"")"),0)</f>
        <v>0</v>
      </c>
      <c r="N133" s="886">
        <f ca="1">IFERROR(__xludf.DUMMYFUNCTION("IMPORTRANGE(""https://docs.google.com/spreadsheets/d/1-uDff_7J0KD5mKrp0Vvzr7lt3OU09vwQwhkpOPPYv2Y/edit?usp=sharing"",""งบพรบ!BO58"")"),0)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IFERROR(__xludf.DUMMYFUNCTION("IMPORTRANGE(""https://docs.google.com/spreadsheets/d/1-uDff_7J0KD5mKrp0Vvzr7lt3OU09vwQwhkpOPPYv2Y/edit?usp=sharing"",""งบพรบ!BQ58"")"),0)</f>
        <v>0</v>
      </c>
      <c r="M144" s="427">
        <f ca="1">IFERROR(__xludf.DUMMYFUNCTION("IMPORTRANGE(""https://docs.google.com/spreadsheets/d/1-uDff_7J0KD5mKrp0Vvzr7lt3OU09vwQwhkpOPPYv2Y/edit?usp=sharing"",""งบพรบ!BV58"")"),0)</f>
        <v>0</v>
      </c>
      <c r="N144" s="427">
        <f ca="1">IFERROR(__xludf.DUMMYFUNCTION("IMPORTRANGE(""https://docs.google.com/spreadsheets/d/1-uDff_7J0KD5mKrp0Vvzr7lt3OU09vwQwhkpOPPYv2Y/edit?usp=sharing"",""งบพรบ!BX58"")"),0)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IFERROR(__xludf.DUMMYFUNCTION("IMPORTRANGE(""https://docs.google.com/spreadsheets/d/1-uDff_7J0KD5mKrp0Vvzr7lt3OU09vwQwhkpOPPYv2Y/edit?usp=sharing"",""งบพรบ!BT58"")"),0)</f>
        <v>0</v>
      </c>
      <c r="M147" s="427">
        <f ca="1">IFERROR(__xludf.DUMMYFUNCTION("IMPORTRANGE(""https://docs.google.com/spreadsheets/d/1-uDff_7J0KD5mKrp0Vvzr7lt3OU09vwQwhkpOPPYv2Y/edit?usp=sharing"",""งบพรบ!BW58"")"),0)</f>
        <v>0</v>
      </c>
      <c r="N147" s="427">
        <f ca="1">IFERROR(__xludf.DUMMYFUNCTION("IMPORTRANGE(""https://docs.google.com/spreadsheets/d/1-uDff_7J0KD5mKrp0Vvzr7lt3OU09vwQwhkpOPPYv2Y/edit?usp=sharing"",""งบพรบ!BY58"")"),0)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IFERROR(__xludf.DUMMYFUNCTION("IMPORTRANGE(""https://docs.google.com/spreadsheets/d/1eHaY18a8A9IcSdp1K8H6x8fbOy06t2VsZHhMHf-1x7Y/edit?usp=sharing"",""แผน!U58"")"),0)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IFERROR(__xludf.DUMMYFUNCTION("IMPORTRANGE(""https://docs.google.com/spreadsheets/d/1eHaY18a8A9IcSdp1K8H6x8fbOy06t2VsZHhMHf-1x7Y/edit?usp=sharing"",""แผน!V58"")"),0)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IFERROR(__xludf.DUMMYFUNCTION("IMPORTRANGE(""https://docs.google.com/spreadsheets/d/1eHaY18a8A9IcSdp1K8H6x8fbOy06t2VsZHhMHf-1x7Y/edit?usp=sharing"",""แผน!W58"")"),0)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IFERROR(__xludf.DUMMYFUNCTION("IMPORTRANGE(""https://docs.google.com/spreadsheets/d/1eHaY18a8A9IcSdp1K8H6x8fbOy06t2VsZHhMHf-1x7Y/edit?usp=sharing"",""แผน!X58"")"),0)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IFERROR(__xludf.DUMMYFUNCTION("IMPORTRANGE(""https://docs.google.com/spreadsheets/d/1eHaY18a8A9IcSdp1K8H6x8fbOy06t2VsZHhMHf-1x7Y/edit?usp=sharing"",""แผน!Y58"")"),0)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IFERROR(__xludf.DUMMYFUNCTION("IMPORTRANGE(""https://docs.google.com/spreadsheets/d/1-uDff_7J0KD5mKrp0Vvzr7lt3OU09vwQwhkpOPPYv2Y/edit?usp=sharing"",""งบพรบ!CA58"")"),0)</f>
        <v>0</v>
      </c>
      <c r="M162" s="427">
        <f ca="1">IFERROR(__xludf.DUMMYFUNCTION("IMPORTRANGE(""https://docs.google.com/spreadsheets/d/1-uDff_7J0KD5mKrp0Vvzr7lt3OU09vwQwhkpOPPYv2Y/edit?usp=sharing"",""งบพรบ!CF58"")"),0)</f>
        <v>0</v>
      </c>
      <c r="N162" s="427">
        <f ca="1">IFERROR(__xludf.DUMMYFUNCTION("IMPORTRANGE(""https://docs.google.com/spreadsheets/d/1-uDff_7J0KD5mKrp0Vvzr7lt3OU09vwQwhkpOPPYv2Y/edit?usp=sharing"",""งบพรบ!CH58"")"),0)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IFERROR(__xludf.DUMMYFUNCTION("IMPORTRANGE(""https://docs.google.com/spreadsheets/d/1-uDff_7J0KD5mKrp0Vvzr7lt3OU09vwQwhkpOPPYv2Y/edit?usp=sharing"",""งบพรบ!CD58"")"),0)</f>
        <v>0</v>
      </c>
      <c r="M165" s="427">
        <f ca="1">IFERROR(__xludf.DUMMYFUNCTION("IMPORTRANGE(""https://docs.google.com/spreadsheets/d/1-uDff_7J0KD5mKrp0Vvzr7lt3OU09vwQwhkpOPPYv2Y/edit?usp=sharing"",""งบพรบ!CG58"")"),0)</f>
        <v>0</v>
      </c>
      <c r="N165" s="427">
        <f ca="1">IFERROR(__xludf.DUMMYFUNCTION("IMPORTRANGE(""https://docs.google.com/spreadsheets/d/1-uDff_7J0KD5mKrp0Vvzr7lt3OU09vwQwhkpOPPYv2Y/edit?usp=sharing"",""งบพรบ!CI58"")"),0)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IFERROR(__xludf.DUMMYFUNCTION("IMPORTRANGE(""https://docs.google.com/spreadsheets/d/1eHaY18a8A9IcSdp1K8H6x8fbOy06t2VsZHhMHf-1x7Y/edit?usp=sharing"",""แผน!Z58"")"),0)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IFERROR(__xludf.DUMMYFUNCTION("IMPORTRANGE(""https://docs.google.com/spreadsheets/d/1eHaY18a8A9IcSdp1K8H6x8fbOy06t2VsZHhMHf-1x7Y/edit?usp=sharing"",""แผน!Z58"")"),0)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IFERROR(__xludf.DUMMYFUNCTION("IMPORTRANGE(""https://docs.google.com/spreadsheets/d/1eHaY18a8A9IcSdp1K8H6x8fbOy06t2VsZHhMHf-1x7Y/edit?usp=sharing"",""แผน!Z58"")"),0)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7</v>
      </c>
      <c r="K172" s="850">
        <f ca="1">IF(I172&gt;0,J172*100/I172,0)</f>
        <v>100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19590</v>
      </c>
      <c r="O173" s="737">
        <f ca="1">IF(L173&gt;0,N173*100/L173,0)</f>
        <v>100</v>
      </c>
      <c r="P173" s="737">
        <f ca="1">IF(M173&gt;0,N173*100/M173,0)</f>
        <v>100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19590</v>
      </c>
      <c r="O175" s="427">
        <f ca="1">IF(L175&gt;0,N175*100/L175,0)</f>
        <v>100</v>
      </c>
      <c r="P175" s="427">
        <f ca="1">IF(M175&gt;0,N175*100/M175,0)</f>
        <v>100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19590</v>
      </c>
      <c r="O176" s="427">
        <f ca="1">IF(L176&gt;0,N176*100/L176,0)</f>
        <v>100</v>
      </c>
      <c r="P176" s="427">
        <f ca="1">IF(M176&gt;0,N176*100/M176,0)</f>
        <v>100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IFERROR(__xludf.DUMMYFUNCTION("IMPORTRANGE(""https://docs.google.com/spreadsheets/d/1-uDff_7J0KD5mKrp0Vvzr7lt3OU09vwQwhkpOPPYv2Y/edit?usp=sharing"",""งบพรบ!CK58"")"),19590)</f>
        <v>19590</v>
      </c>
      <c r="M178" s="427">
        <f ca="1">IFERROR(__xludf.DUMMYFUNCTION("IMPORTRANGE(""https://docs.google.com/spreadsheets/d/1-uDff_7J0KD5mKrp0Vvzr7lt3OU09vwQwhkpOPPYv2Y/edit?usp=sharing"",""งบพรบ!CP58"")"),19590)</f>
        <v>19590</v>
      </c>
      <c r="N178" s="427">
        <f ca="1">IFERROR(__xludf.DUMMYFUNCTION("IMPORTRANGE(""https://docs.google.com/spreadsheets/d/1-uDff_7J0KD5mKrp0Vvzr7lt3OU09vwQwhkpOPPYv2Y/edit?usp=sharing"",""งบพรบ!CR58"")"),19590)</f>
        <v>19590</v>
      </c>
      <c r="O178" s="427">
        <f ca="1">IF(L178&gt;0,N178*100/L178,0)</f>
        <v>100</v>
      </c>
      <c r="P178" s="427">
        <f ca="1">IF(M178&gt;0,N178*100/M178,0)</f>
        <v>100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IFERROR(__xludf.DUMMYFUNCTION("IMPORTRANGE(""https://docs.google.com/spreadsheets/d/1-uDff_7J0KD5mKrp0Vvzr7lt3OU09vwQwhkpOPPYv2Y/edit?usp=sharing"",""งบพรบ!CN58"")"),0)</f>
        <v>0</v>
      </c>
      <c r="M181" s="427">
        <f ca="1">IFERROR(__xludf.DUMMYFUNCTION("IMPORTRANGE(""https://docs.google.com/spreadsheets/d/1-uDff_7J0KD5mKrp0Vvzr7lt3OU09vwQwhkpOPPYv2Y/edit?usp=sharing"",""งบพรบ!CQ58"")"),0)</f>
        <v>0</v>
      </c>
      <c r="N181" s="427">
        <f ca="1">IFERROR(__xludf.DUMMYFUNCTION("IMPORTRANGE(""https://docs.google.com/spreadsheets/d/1-uDff_7J0KD5mKrp0Vvzr7lt3OU09vwQwhkpOPPYv2Y/edit?usp=sharing"",""งบพรบ!CS58"")"),0)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IFERROR(__xludf.DUMMYFUNCTION("IMPORTRANGE(""https://docs.google.com/spreadsheets/d/1eHaY18a8A9IcSdp1K8H6x8fbOy06t2VsZHhMHf-1x7Y/edit?usp=sharing"",""แผน!AA58"")"),7)</f>
        <v>7</v>
      </c>
      <c r="J183" s="758">
        <v>7</v>
      </c>
      <c r="K183" s="427">
        <f ca="1">IF(I183&gt;0,J183*100/I183,0)</f>
        <v>100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111200</v>
      </c>
      <c r="M186" s="737">
        <f ca="1">M187+M188</f>
        <v>75500</v>
      </c>
      <c r="N186" s="737">
        <f ca="1">N187+N188</f>
        <v>50720</v>
      </c>
      <c r="O186" s="737">
        <f ca="1">IF(L186&gt;0,N186*100/L186,0)</f>
        <v>45.611510791366904</v>
      </c>
      <c r="P186" s="737">
        <f ca="1">IF(M186&gt;0,N186*100/M186,0)</f>
        <v>67.178807947019862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111200</v>
      </c>
      <c r="M188" s="427">
        <f ca="1">M191+M194</f>
        <v>75500</v>
      </c>
      <c r="N188" s="427">
        <f ca="1">N191+N194</f>
        <v>50720</v>
      </c>
      <c r="O188" s="427">
        <f ca="1">IF(L188&gt;0,N188*100/L188,0)</f>
        <v>45.611510791366904</v>
      </c>
      <c r="P188" s="427">
        <f ca="1">IF(M188&gt;0,N188*100/M188,0)</f>
        <v>67.178807947019862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111200</v>
      </c>
      <c r="M189" s="427">
        <f ca="1">M190+M191</f>
        <v>75500</v>
      </c>
      <c r="N189" s="427">
        <f ca="1">N190+N191</f>
        <v>50720</v>
      </c>
      <c r="O189" s="427">
        <f ca="1">IF(L189&gt;0,N189*100/L189,0)</f>
        <v>45.611510791366904</v>
      </c>
      <c r="P189" s="427">
        <f ca="1">IF(M189&gt;0,N189*100/M189,0)</f>
        <v>67.178807947019862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IFERROR(__xludf.DUMMYFUNCTION("IMPORTRANGE(""https://docs.google.com/spreadsheets/d/1-uDff_7J0KD5mKrp0Vvzr7lt3OU09vwQwhkpOPPYv2Y/edit?usp=sharing"",""งบพรบ!CU58"")"),111200)</f>
        <v>111200</v>
      </c>
      <c r="M191" s="427">
        <f ca="1">IFERROR(__xludf.DUMMYFUNCTION("IMPORTRANGE(""https://docs.google.com/spreadsheets/d/1-uDff_7J0KD5mKrp0Vvzr7lt3OU09vwQwhkpOPPYv2Y/edit?usp=sharing"",""งบพรบ!CZ58"")"),75500)</f>
        <v>75500</v>
      </c>
      <c r="N191" s="427">
        <f ca="1">IFERROR(__xludf.DUMMYFUNCTION("IMPORTRANGE(""https://docs.google.com/spreadsheets/d/1-uDff_7J0KD5mKrp0Vvzr7lt3OU09vwQwhkpOPPYv2Y/edit?usp=sharing"",""งบพรบ!DB58"")"),50720)</f>
        <v>50720</v>
      </c>
      <c r="O191" s="427">
        <f ca="1">IF(L191&gt;0,N191*100/L191,0)</f>
        <v>45.611510791366904</v>
      </c>
      <c r="P191" s="427">
        <f ca="1">IF(M191&gt;0,N191*100/M191,0)</f>
        <v>67.178807947019862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IFERROR(__xludf.DUMMYFUNCTION("IMPORTRANGE(""https://docs.google.com/spreadsheets/d/1-uDff_7J0KD5mKrp0Vvzr7lt3OU09vwQwhkpOPPYv2Y/edit?usp=sharing"",""งบพรบ!CX58"")"),0)</f>
        <v>0</v>
      </c>
      <c r="M194" s="427">
        <f ca="1">IFERROR(__xludf.DUMMYFUNCTION("IMPORTRANGE(""https://docs.google.com/spreadsheets/d/1-uDff_7J0KD5mKrp0Vvzr7lt3OU09vwQwhkpOPPYv2Y/edit?usp=sharing"",""งบพรบ!DA58"")"),0)</f>
        <v>0</v>
      </c>
      <c r="N194" s="427">
        <f ca="1">IFERROR(__xludf.DUMMYFUNCTION("IMPORTRANGE(""https://docs.google.com/spreadsheets/d/1-uDff_7J0KD5mKrp0Vvzr7lt3OU09vwQwhkpOPPYv2Y/edit?usp=sharing"",""งบพรบ!DC58"")"),0)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IFERROR(__xludf.DUMMYFUNCTION("IMPORTRANGE(""https://docs.google.com/spreadsheets/d/1eHaY18a8A9IcSdp1K8H6x8fbOy06t2VsZHhMHf-1x7Y/edit?usp=sharing"",""แผน!AB58"")"),6000)</f>
        <v>6000</v>
      </c>
      <c r="M196" s="430"/>
      <c r="N196" s="849">
        <v>3000</v>
      </c>
      <c r="O196" s="737">
        <f ca="1">IF(L196&gt;0,N196*100/L196,0)</f>
        <v>50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IFERROR(__xludf.DUMMYFUNCTION("IMPORTRANGE(""https://docs.google.com/spreadsheets/d/1eHaY18a8A9IcSdp1K8H6x8fbOy06t2VsZHhMHf-1x7Y/edit?usp=sharing"",""แผน!AE58"")"),4)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39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39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1</v>
      </c>
      <c r="K202" s="441">
        <f ca="1">IF(I202&gt;0,J202*100/I202,0)</f>
        <v>100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8000</v>
      </c>
      <c r="O203" s="737">
        <f ca="1">IF(L203&gt;0,N203*100/L203,0)</f>
        <v>61.53846153846154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IFERROR(__xludf.DUMMYFUNCTION("IMPORTRANGE(""https://docs.google.com/spreadsheets/d/1eHaY18a8A9IcSdp1K8H6x8fbOy06t2VsZHhMHf-1x7Y/edit?usp=sharing"",""แผน!AG58"")"),1000)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IFERROR(__xludf.DUMMYFUNCTION("IMPORTRANGE(""https://docs.google.com/spreadsheets/d/1eHaY18a8A9IcSdp1K8H6x8fbOy06t2VsZHhMHf-1x7Y/edit?usp=sharing"",""แผน!AH58"")"),0)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IFERROR(__xludf.DUMMYFUNCTION("IMPORTRANGE(""https://docs.google.com/spreadsheets/d/1eHaY18a8A9IcSdp1K8H6x8fbOy06t2VsZHhMHf-1x7Y/edit?usp=sharing"",""แผน!AI58"")"),8000)</f>
        <v>8000</v>
      </c>
      <c r="M206" s="430"/>
      <c r="N206" s="840">
        <v>8000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IFERROR(__xludf.DUMMYFUNCTION("IMPORTRANGE(""https://docs.google.com/spreadsheets/d/1eHaY18a8A9IcSdp1K8H6x8fbOy06t2VsZHhMHf-1x7Y/edit?usp=sharing"",""แผน!AJ58"")"),4000)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IFERROR(__xludf.DUMMYFUNCTION("IMPORTRANGE(""https://docs.google.com/spreadsheets/d/1eHaY18a8A9IcSdp1K8H6x8fbOy06t2VsZHhMHf-1x7Y/edit?usp=sharing"",""แผน!AK58"")"),1)</f>
        <v>1</v>
      </c>
      <c r="J209" s="758">
        <v>1</v>
      </c>
      <c r="K209" s="789">
        <f ca="1">IF(I209&gt;0,J209*100/I209,0)</f>
        <v>100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IFERROR(__xludf.DUMMYFUNCTION("IMPORTRANGE(""https://docs.google.com/spreadsheets/d/1eHaY18a8A9IcSdp1K8H6x8fbOy06t2VsZHhMHf-1x7Y/edit?usp=sharing"",""แผน!JX58"")"),1)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IFERROR(__xludf.DUMMYFUNCTION("IMPORTRANGE(""https://docs.google.com/spreadsheets/d/1eHaY18a8A9IcSdp1K8H6x8fbOy06t2VsZHhMHf-1x7Y/edit?usp=sharing"",""แผน!JY58"")"),0)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1</v>
      </c>
      <c r="J213" s="440">
        <f>J220</f>
        <v>1</v>
      </c>
      <c r="K213" s="441">
        <f ca="1">IF(I213&gt;0,J213*100/I213,0)</f>
        <v>100</v>
      </c>
      <c r="L213" s="575"/>
      <c r="M213" s="575"/>
      <c r="N213" s="575"/>
      <c r="O213" s="575"/>
      <c r="P213" s="575"/>
    </row>
    <row r="214" spans="1:16" ht="19.5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14000</v>
      </c>
      <c r="M214" s="430"/>
      <c r="N214" s="737">
        <f>N215+N216+N217</f>
        <v>8240</v>
      </c>
      <c r="O214" s="737">
        <f ca="1">IF(L214&gt;0,N214*100/L214,0)</f>
        <v>58.857142857142854</v>
      </c>
      <c r="P214" s="737">
        <f>IF(M214&gt;0,N214*100/M214,0)</f>
        <v>0</v>
      </c>
    </row>
    <row r="215" spans="1:16" ht="18.75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IFERROR(__xludf.DUMMYFUNCTION("IMPORTRANGE(""https://docs.google.com/spreadsheets/d/1eHaY18a8A9IcSdp1K8H6x8fbOy06t2VsZHhMHf-1x7Y/edit?usp=sharing"",""แผน!AM58"")"),1000)</f>
        <v>1000</v>
      </c>
      <c r="M215" s="430"/>
      <c r="N215" s="840">
        <v>240</v>
      </c>
      <c r="O215" s="700"/>
      <c r="P215" s="430"/>
    </row>
    <row r="216" spans="1:16" ht="18.75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IFERROR(__xludf.DUMMYFUNCTION("IMPORTRANGE(""https://docs.google.com/spreadsheets/d/1eHaY18a8A9IcSdp1K8H6x8fbOy06t2VsZHhMHf-1x7Y/edit?usp=sharing"",""แผน!AN58"")"),5000)</f>
        <v>5000</v>
      </c>
      <c r="M216" s="430"/>
      <c r="N216" s="840">
        <v>0</v>
      </c>
      <c r="O216" s="700"/>
      <c r="P216" s="430"/>
    </row>
    <row r="217" spans="1:16" ht="18.75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IFERROR(__xludf.DUMMYFUNCTION("IMPORTRANGE(""https://docs.google.com/spreadsheets/d/1eHaY18a8A9IcSdp1K8H6x8fbOy06t2VsZHhMHf-1x7Y/edit?usp=sharing"",""แผน!AO58"")"),8000)</f>
        <v>8000</v>
      </c>
      <c r="M217" s="430"/>
      <c r="N217" s="840">
        <v>8000</v>
      </c>
      <c r="O217" s="700"/>
      <c r="P217" s="430"/>
    </row>
    <row r="218" spans="1:16" ht="19.5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IFERROR(__xludf.DUMMYFUNCTION("IMPORTRANGE(""https://docs.google.com/spreadsheets/d/1eHaY18a8A9IcSdp1K8H6x8fbOy06t2VsZHhMHf-1x7Y/edit?usp=sharing"",""แผน!AP58"")"),1)</f>
        <v>1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IFERROR(__xludf.DUMMYFUNCTION("IMPORTRANGE(""https://docs.google.com/spreadsheets/d/1eHaY18a8A9IcSdp1K8H6x8fbOy06t2VsZHhMHf-1x7Y/edit?usp=sharing"",""แผน!AP58"")"),1)</f>
        <v>1</v>
      </c>
      <c r="J220" s="758">
        <v>1</v>
      </c>
      <c r="K220" s="427">
        <f ca="1">IF(I220&gt;0,J220*100/I220,0)</f>
        <v>100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3200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IFERROR(__xludf.DUMMYFUNCTION("IMPORTRANGE(""https://docs.google.com/spreadsheets/d/1eHaY18a8A9IcSdp1K8H6x8fbOy06t2VsZHhMHf-1x7Y/edit?usp=sharing"",""แผน!AR58"")"),3000)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IFERROR(__xludf.DUMMYFUNCTION("IMPORTRANGE(""https://docs.google.com/spreadsheets/d/1eHaY18a8A9IcSdp1K8H6x8fbOy06t2VsZHhMHf-1x7Y/edit?usp=sharing"",""แผน!AS58"")"),1500)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IFERROR(__xludf.DUMMYFUNCTION("IMPORTRANGE(""https://docs.google.com/spreadsheets/d/1eHaY18a8A9IcSdp1K8H6x8fbOy06t2VsZHhMHf-1x7Y/edit?usp=sharing"",""แผน!AT58"")"),0)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IFERROR(__xludf.DUMMYFUNCTION("IMPORTRANGE(""https://docs.google.com/spreadsheets/d/1eHaY18a8A9IcSdp1K8H6x8fbOy06t2VsZHhMHf-1x7Y/edit?usp=sharing"",""แผน!AV58"")"),3200)</f>
        <v>3200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IFERROR(__xludf.DUMMYFUNCTION("IMPORTRANGE(""https://docs.google.com/spreadsheets/d/1eHaY18a8A9IcSdp1K8H6x8fbOy06t2VsZHhMHf-1x7Y/edit?usp=sharing"",""แผน!AV58"")"),3200)</f>
        <v>3200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IFERROR(__xludf.DUMMYFUNCTION("IMPORTRANGE(""https://docs.google.com/spreadsheets/d/1eHaY18a8A9IcSdp1K8H6x8fbOy06t2VsZHhMHf-1x7Y/edit?usp=sharing"",""แผน!AU58"")"),0)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3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1"/>
      <c r="C232" s="733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1"/>
      <c r="D233" s="751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751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751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30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27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30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27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27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83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1"/>
      <c r="C243" s="60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1"/>
      <c r="D244" s="623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IFERROR(__xludf.DUMMYFUNCTION("IMPORTRANGE(""https://docs.google.com/spreadsheets/d/1eHaY18a8A9IcSdp1K8H6x8fbOy06t2VsZHhMHf-1x7Y/edit?usp=sharing"",""แผน!AX58"")"),0)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623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IFERROR(__xludf.DUMMYFUNCTION("IMPORTRANGE(""https://docs.google.com/spreadsheets/d/1eHaY18a8A9IcSdp1K8H6x8fbOy06t2VsZHhMHf-1x7Y/edit?usp=sharing"",""แผน!AY58"")"),0)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623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IFERROR(__xludf.DUMMYFUNCTION("IMPORTRANGE(""https://docs.google.com/spreadsheets/d/1eHaY18a8A9IcSdp1K8H6x8fbOy06t2VsZHhMHf-1x7Y/edit?usp=sharing"",""แผน!AZ58"")"),0)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IFERROR(__xludf.DUMMYFUNCTION("IMPORTRANGE(""https://docs.google.com/spreadsheets/d/1eHaY18a8A9IcSdp1K8H6x8fbOy06t2VsZHhMHf-1x7Y/edit?usp=sharing"",""แผน!BA58"")"),0)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30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539" t="s">
        <v>33</v>
      </c>
      <c r="I249" s="201">
        <f ca="1">IFERROR(__xludf.DUMMYFUNCTION("IMPORTRANGE(""https://docs.google.com/spreadsheets/d/1eHaY18a8A9IcSdp1K8H6x8fbOy06t2VsZHhMHf-1x7Y/edit?usp=sharing"",""แผน!BG58"")"),0)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30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539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539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623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IFERROR(__xludf.DUMMYFUNCTION("IMPORTRANGE(""https://docs.google.com/spreadsheets/d/1eHaY18a8A9IcSdp1K8H6x8fbOy06t2VsZHhMHf-1x7Y/edit?usp=sharing"",""แผน!BB58"")"),0)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623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IFERROR(__xludf.DUMMYFUNCTION("IMPORTRANGE(""https://docs.google.com/spreadsheets/d/1eHaY18a8A9IcSdp1K8H6x8fbOy06t2VsZHhMHf-1x7Y/edit?usp=sharing"",""แผน!BC58"")"),0)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623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IFERROR(__xludf.DUMMYFUNCTION("IMPORTRANGE(""https://docs.google.com/spreadsheets/d/1eHaY18a8A9IcSdp1K8H6x8fbOy06t2VsZHhMHf-1x7Y/edit?usp=sharing"",""แผน!BD58"")"),0)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IFERROR(__xludf.DUMMYFUNCTION("IMPORTRANGE(""https://docs.google.com/spreadsheets/d/1eHaY18a8A9IcSdp1K8H6x8fbOy06t2VsZHhMHf-1x7Y/edit?usp=sharing"",""แผน!BE58"")"),0)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IFERROR(__xludf.DUMMYFUNCTION("IMPORTRANGE(""https://docs.google.com/spreadsheets/d/1eHaY18a8A9IcSdp1K8H6x8fbOy06t2VsZHhMHf-1x7Y/edit?usp=sharing"",""แผน!BH58"")"),0)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IFERROR(__xludf.DUMMYFUNCTION("IMPORTRANGE(""https://docs.google.com/spreadsheets/d/1-uDff_7J0KD5mKrp0Vvzr7lt3OU09vwQwhkpOPPYv2Y/edit?usp=sharing"",""งบพรบ!DE58"")"),0)</f>
        <v>0</v>
      </c>
      <c r="M271" s="522">
        <f ca="1">IFERROR(__xludf.DUMMYFUNCTION("IMPORTRANGE(""https://docs.google.com/spreadsheets/d/1-uDff_7J0KD5mKrp0Vvzr7lt3OU09vwQwhkpOPPYv2Y/edit?usp=sharing"",""งบพรบ!DJ58"")"),0)</f>
        <v>0</v>
      </c>
      <c r="N271" s="522">
        <f ca="1">IFERROR(__xludf.DUMMYFUNCTION("IMPORTRANGE(""https://docs.google.com/spreadsheets/d/1-uDff_7J0KD5mKrp0Vvzr7lt3OU09vwQwhkpOPPYv2Y/edit?usp=sharing"",""งบพรบ!DL58"")"),0)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IFERROR(__xludf.DUMMYFUNCTION("IMPORTRANGE(""https://docs.google.com/spreadsheets/d/1-uDff_7J0KD5mKrp0Vvzr7lt3OU09vwQwhkpOPPYv2Y/edit?usp=sharing"",""งบพรบ!DH58"")"),0)</f>
        <v>0</v>
      </c>
      <c r="M274" s="522">
        <f ca="1">IFERROR(__xludf.DUMMYFUNCTION("IMPORTRANGE(""https://docs.google.com/spreadsheets/d/1-uDff_7J0KD5mKrp0Vvzr7lt3OU09vwQwhkpOPPYv2Y/edit?usp=sharing"",""งบพรบ!DK58"")"),0)</f>
        <v>0</v>
      </c>
      <c r="N274" s="522">
        <f ca="1">IFERROR(__xludf.DUMMYFUNCTION("IMPORTRANGE(""https://docs.google.com/spreadsheets/d/1-uDff_7J0KD5mKrp0Vvzr7lt3OU09vwQwhkpOPPYv2Y/edit?usp=sharing"",""งบพรบ!DM58"")"),0)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IFERROR(__xludf.DUMMYFUNCTION("IMPORTRANGE(""https://docs.google.com/spreadsheets/d/1-uDff_7J0KD5mKrp0Vvzr7lt3OU09vwQwhkpOPPYv2Y/edit?usp=sharing"",""งบพรบ!DO58"")"),0)</f>
        <v>0</v>
      </c>
      <c r="M287" s="427">
        <f ca="1">IFERROR(__xludf.DUMMYFUNCTION("IMPORTRANGE(""https://docs.google.com/spreadsheets/d/1-uDff_7J0KD5mKrp0Vvzr7lt3OU09vwQwhkpOPPYv2Y/edit?usp=sharing"",""งบพรบ!DT58"")"),0)</f>
        <v>0</v>
      </c>
      <c r="N287" s="427">
        <f ca="1">IFERROR(__xludf.DUMMYFUNCTION("IMPORTRANGE(""https://docs.google.com/spreadsheets/d/1-uDff_7J0KD5mKrp0Vvzr7lt3OU09vwQwhkpOPPYv2Y/edit?usp=sharing"",""งบพรบ!DV58"")"),0)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IFERROR(__xludf.DUMMYFUNCTION("IMPORTRANGE(""https://docs.google.com/spreadsheets/d/1-uDff_7J0KD5mKrp0Vvzr7lt3OU09vwQwhkpOPPYv2Y/edit?usp=sharing"",""งบพรบ!DR58"")"),0)</f>
        <v>0</v>
      </c>
      <c r="M290" s="427">
        <f ca="1">IFERROR(__xludf.DUMMYFUNCTION("IMPORTRANGE(""https://docs.google.com/spreadsheets/d/1-uDff_7J0KD5mKrp0Vvzr7lt3OU09vwQwhkpOPPYv2Y/edit?usp=sharing"",""งบพรบ!DU58"")"),0)</f>
        <v>0</v>
      </c>
      <c r="N290" s="427">
        <f ca="1">IFERROR(__xludf.DUMMYFUNCTION("IMPORTRANGE(""https://docs.google.com/spreadsheets/d/1-uDff_7J0KD5mKrp0Vvzr7lt3OU09vwQwhkpOPPYv2Y/edit?usp=sharing"",""งบพรบ!DW58"")"),0)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IFERROR(__xludf.DUMMYFUNCTION("IMPORTRANGE(""https://docs.google.com/spreadsheets/d/1eHaY18a8A9IcSdp1K8H6x8fbOy06t2VsZHhMHf-1x7Y/edit?usp=sharing"",""แผน!EE58"")"),0)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IFERROR(__xludf.DUMMYFUNCTION("IMPORTRANGE(""https://docs.google.com/spreadsheets/d/1eHaY18a8A9IcSdp1K8H6x8fbOy06t2VsZHhMHf-1x7Y/edit?usp=sharing"",""แผน!ED58"")"),0)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IFERROR(__xludf.DUMMYFUNCTION("IMPORTRANGE(""https://docs.google.com/spreadsheets/d/1eHaY18a8A9IcSdp1K8H6x8fbOy06t2VsZHhMHf-1x7Y/edit?usp=sharing"",""แผน!ED58"")"),0)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IFERROR(__xludf.DUMMYFUNCTION("IMPORTRANGE(""https://docs.google.com/spreadsheets/d/1eHaY18a8A9IcSdp1K8H6x8fbOy06t2VsZHhMHf-1x7Y/edit?usp=sharing"",""แผน!ED58"")"),0)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IFERROR(__xludf.DUMMYFUNCTION("IMPORTRANGE(""https://docs.google.com/spreadsheets/d/1-uDff_7J0KD5mKrp0Vvzr7lt3OU09vwQwhkpOPPYv2Y/edit?usp=sharing"",""งบพรบ!DY58"")"),0)</f>
        <v>0</v>
      </c>
      <c r="M308" s="427">
        <f ca="1">IFERROR(__xludf.DUMMYFUNCTION("IMPORTRANGE(""https://docs.google.com/spreadsheets/d/1-uDff_7J0KD5mKrp0Vvzr7lt3OU09vwQwhkpOPPYv2Y/edit?usp=sharing"",""งบพรบ!ED58"")"),0)</f>
        <v>0</v>
      </c>
      <c r="N308" s="427">
        <f ca="1">IFERROR(__xludf.DUMMYFUNCTION("IMPORTRANGE(""https://docs.google.com/spreadsheets/d/1-uDff_7J0KD5mKrp0Vvzr7lt3OU09vwQwhkpOPPYv2Y/edit?usp=sharing"",""งบพรบ!EF58"")"),0)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IFERROR(__xludf.DUMMYFUNCTION("IMPORTRANGE(""https://docs.google.com/spreadsheets/d/1-uDff_7J0KD5mKrp0Vvzr7lt3OU09vwQwhkpOPPYv2Y/edit?usp=sharing"",""งบพรบ!EB58"")"),0)</f>
        <v>0</v>
      </c>
      <c r="M311" s="427">
        <f ca="1">IFERROR(__xludf.DUMMYFUNCTION("IMPORTRANGE(""https://docs.google.com/spreadsheets/d/1-uDff_7J0KD5mKrp0Vvzr7lt3OU09vwQwhkpOPPYv2Y/edit?usp=sharing"",""งบพรบ!EE58"")"),0)</f>
        <v>0</v>
      </c>
      <c r="N311" s="427">
        <f ca="1">IFERROR(__xludf.DUMMYFUNCTION("IMPORTRANGE(""https://docs.google.com/spreadsheets/d/1-uDff_7J0KD5mKrp0Vvzr7lt3OU09vwQwhkpOPPYv2Y/edit?usp=sharing"",""งบพรบ!EG58"")"),0)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IFERROR(__xludf.DUMMYFUNCTION("IMPORTRANGE(""https://docs.google.com/spreadsheets/d/1eHaY18a8A9IcSdp1K8H6x8fbOy06t2VsZHhMHf-1x7Y/edit?usp=sharing"",""แผน!EF58"")"),0)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IFERROR(__xludf.DUMMYFUNCTION("IMPORTRANGE(""https://docs.google.com/spreadsheets/d/1eHaY18a8A9IcSdp1K8H6x8fbOy06t2VsZHhMHf-1x7Y/edit?usp=sharing"",""แผน!EG58"")"),0)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IFERROR(__xludf.DUMMYFUNCTION("IMPORTRANGE(""https://docs.google.com/spreadsheets/d/1eHaY18a8A9IcSdp1K8H6x8fbOy06t2VsZHhMHf-1x7Y/edit?usp=sharing"",""แผน!EH58"")"),0)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IFERROR(__xludf.DUMMYFUNCTION("IMPORTRANGE(""https://docs.google.com/spreadsheets/d/1eHaY18a8A9IcSdp1K8H6x8fbOy06t2VsZHhMHf-1x7Y/edit?usp=sharing"",""แผน!EI58"")"),0)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IFERROR(__xludf.DUMMYFUNCTION("IMPORTRANGE(""https://docs.google.com/spreadsheets/d/1-uDff_7J0KD5mKrp0Vvzr7lt3OU09vwQwhkpOPPYv2Y/edit?usp=sharing"",""งบพรบ!EI58"")"),0)</f>
        <v>0</v>
      </c>
      <c r="M325" s="427">
        <f ca="1">IFERROR(__xludf.DUMMYFUNCTION("IMPORTRANGE(""https://docs.google.com/spreadsheets/d/1-uDff_7J0KD5mKrp0Vvzr7lt3OU09vwQwhkpOPPYv2Y/edit?usp=sharing"",""งบพรบ!EN58"")"),0)</f>
        <v>0</v>
      </c>
      <c r="N325" s="427">
        <f ca="1">IFERROR(__xludf.DUMMYFUNCTION("IMPORTRANGE(""https://docs.google.com/spreadsheets/d/1-uDff_7J0KD5mKrp0Vvzr7lt3OU09vwQwhkpOPPYv2Y/edit?usp=sharing"",""งบพรบ!EP58"")"),0)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IFERROR(__xludf.DUMMYFUNCTION("IMPORTRANGE(""https://docs.google.com/spreadsheets/d/1-uDff_7J0KD5mKrp0Vvzr7lt3OU09vwQwhkpOPPYv2Y/edit?usp=sharing"",""งบพรบ!EL58"")"),0)</f>
        <v>0</v>
      </c>
      <c r="M328" s="427">
        <f ca="1">IFERROR(__xludf.DUMMYFUNCTION("IMPORTRANGE(""https://docs.google.com/spreadsheets/d/1-uDff_7J0KD5mKrp0Vvzr7lt3OU09vwQwhkpOPPYv2Y/edit?usp=sharing"",""งบพรบ!EO58"")"),0)</f>
        <v>0</v>
      </c>
      <c r="N328" s="427">
        <f ca="1">IFERROR(__xludf.DUMMYFUNCTION("IMPORTRANGE(""https://docs.google.com/spreadsheets/d/1-uDff_7J0KD5mKrp0Vvzr7lt3OU09vwQwhkpOPPYv2Y/edit?usp=sharing"",""งบพรบ!EQ58"")"),0)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IFERROR(__xludf.DUMMYFUNCTION("IMPORTRANGE(""https://docs.google.com/spreadsheets/d/1eHaY18a8A9IcSdp1K8H6x8fbOy06t2VsZHhMHf-1x7Y/edit?usp=sharing"",""แผน!EJ58"")"),0)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400</v>
      </c>
      <c r="J332" s="404">
        <f ca="1">J344+J347+J348+J349+J353</f>
        <v>2835</v>
      </c>
      <c r="K332" s="405">
        <f ca="1">IF(I332&gt;0,J332*100/I332,0)</f>
        <v>708.75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216600</v>
      </c>
      <c r="M333" s="737">
        <f ca="1">M334+M335</f>
        <v>163350</v>
      </c>
      <c r="N333" s="737">
        <f ca="1">N334+N335</f>
        <v>42000</v>
      </c>
      <c r="O333" s="737">
        <f ca="1">IF(L333&gt;0,N333*100/L333,0)</f>
        <v>19.390581717451525</v>
      </c>
      <c r="P333" s="737">
        <f ca="1">IF(M333&gt;0,N333*100/M333,0)</f>
        <v>25.711662075298438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216600</v>
      </c>
      <c r="M335" s="427">
        <f ca="1">M338+M341</f>
        <v>163350</v>
      </c>
      <c r="N335" s="427">
        <f ca="1">N338+N341</f>
        <v>42000</v>
      </c>
      <c r="O335" s="427">
        <f ca="1">IF(L335&gt;0,N335*100/L335,0)</f>
        <v>19.390581717451525</v>
      </c>
      <c r="P335" s="427">
        <f ca="1">IF(M335&gt;0,N335*100/M335,0)</f>
        <v>25.711662075298438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216600</v>
      </c>
      <c r="M336" s="427">
        <f ca="1">M337+M338</f>
        <v>163350</v>
      </c>
      <c r="N336" s="427">
        <f ca="1">N337+N338</f>
        <v>42000</v>
      </c>
      <c r="O336" s="427">
        <f ca="1">IF(L336&gt;0,N336*100/L336,0)</f>
        <v>19.390581717451525</v>
      </c>
      <c r="P336" s="427">
        <f ca="1">IF(M336&gt;0,N336*100/M336,0)</f>
        <v>25.711662075298438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IFERROR(__xludf.DUMMYFUNCTION("IMPORTRANGE(""https://docs.google.com/spreadsheets/d/1-uDff_7J0KD5mKrp0Vvzr7lt3OU09vwQwhkpOPPYv2Y/edit?usp=sharing"",""งบพรบ!ES58"")"),216600)</f>
        <v>216600</v>
      </c>
      <c r="M338" s="427">
        <f ca="1">IFERROR(__xludf.DUMMYFUNCTION("IMPORTRANGE(""https://docs.google.com/spreadsheets/d/1-uDff_7J0KD5mKrp0Vvzr7lt3OU09vwQwhkpOPPYv2Y/edit?usp=sharing"",""งบพรบ!EX58"")"),163350)</f>
        <v>163350</v>
      </c>
      <c r="N338" s="427">
        <f ca="1">IFERROR(__xludf.DUMMYFUNCTION("IMPORTRANGE(""https://docs.google.com/spreadsheets/d/1-uDff_7J0KD5mKrp0Vvzr7lt3OU09vwQwhkpOPPYv2Y/edit?usp=sharing"",""งบพรบ!EZ58"")"),42000)</f>
        <v>42000</v>
      </c>
      <c r="O338" s="427">
        <f ca="1">IF(L338&gt;0,N338*100/L338,0)</f>
        <v>19.390581717451525</v>
      </c>
      <c r="P338" s="427">
        <f ca="1">IF(M338&gt;0,N338*100/M338,0)</f>
        <v>25.711662075298438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IFERROR(__xludf.DUMMYFUNCTION("IMPORTRANGE(""https://docs.google.com/spreadsheets/d/1-uDff_7J0KD5mKrp0Vvzr7lt3OU09vwQwhkpOPPYv2Y/edit?usp=sharing"",""งบพรบ!EV58"")"),0)</f>
        <v>0</v>
      </c>
      <c r="M341" s="427">
        <f ca="1">IFERROR(__xludf.DUMMYFUNCTION("IMPORTRANGE(""https://docs.google.com/spreadsheets/d/1-uDff_7J0KD5mKrp0Vvzr7lt3OU09vwQwhkpOPPYv2Y/edit?usp=sharing"",""งบพรบ!EY58"")"),0)</f>
        <v>0</v>
      </c>
      <c r="N341" s="427">
        <f ca="1">IFERROR(__xludf.DUMMYFUNCTION("IMPORTRANGE(""https://docs.google.com/spreadsheets/d/1-uDff_7J0KD5mKrp0Vvzr7lt3OU09vwQwhkpOPPYv2Y/edit?usp=sharing"",""งบพรบ!FA58"")"),0)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402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IFERROR(__xludf.DUMMYFUNCTION("IMPORTRANGE(""https://docs.google.com/spreadsheets/d/1eHaY18a8A9IcSdp1K8H6x8fbOy06t2VsZHhMHf-1x7Y/edit?usp=sharing"",""แผน!EK58"")"),400)</f>
        <v>400</v>
      </c>
      <c r="J344" s="426">
        <f ca="1">IFERROR(__xludf.DUMMYFUNCTION("IMPORTRANGE(""https://docs.google.com/spreadsheets/d/1awYsYK3VOup2i3Pq_Yjnu8DRu_mYwSBnCR2QPthd0rU/edit?usp=sharing"",""ศูนย์ยกเว้นโฉนด!D58"")"),396)</f>
        <v>396</v>
      </c>
      <c r="K344" s="427">
        <f ca="1">IF(I344&gt;0,J344*100/I344,0)</f>
        <v>99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IFERROR(__xludf.DUMMYFUNCTION("IMPORTRANGE(""https://docs.google.com/spreadsheets/d/1eHaY18a8A9IcSdp1K8H6x8fbOy06t2VsZHhMHf-1x7Y/edit?usp=sharing"",""แผน!EL58"")"),1)</f>
        <v>1</v>
      </c>
      <c r="J346" s="426">
        <f ca="1">IFERROR(__xludf.DUMMYFUNCTION("IMPORTRANGE(""https://docs.google.com/spreadsheets/d/1awYsYK3VOup2i3Pq_Yjnu8DRu_mYwSBnCR2QPthd0rU/edit?usp=sharing"",""ศูนย์รวม!E58"")"),0)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IFERROR(__xludf.DUMMYFUNCTION("IMPORTRANGE(""https://docs.google.com/spreadsheets/d/1awYsYK3VOup2i3Pq_Yjnu8DRu_mYwSBnCR2QPthd0rU/edit?usp=sharing"",""ศูนย์ยกเว้นโฉนด!F58"")"),0)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IFERROR(__xludf.DUMMYFUNCTION("IMPORTRANGE(""https://docs.google.com/spreadsheets/d/1awYsYK3VOup2i3Pq_Yjnu8DRu_mYwSBnCR2QPthd0rU/edit?usp=sharing"",""ศูนย์ยกเว้นโฉนด!G58"")"),6)</f>
        <v>6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IFERROR(__xludf.DUMMYFUNCTION("IMPORTRANGE(""https://docs.google.com/spreadsheets/d/1awYsYK3VOup2i3Pq_Yjnu8DRu_mYwSBnCR2QPthd0rU/edit?usp=sharing"",""ศูนย์ยกเว้นโฉนด!H58"")"),0)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2479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IFERROR(__xludf.DUMMYFUNCTION("IMPORTRANGE(""https://docs.google.com/spreadsheets/d/1awYsYK3VOup2i3Pq_Yjnu8DRu_mYwSBnCR2QPthd0rU/edit?usp=sharing"",""โฉนดM3!G58"")"),46)</f>
        <v>46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IFERROR(__xludf.DUMMYFUNCTION("IMPORTRANGE(""https://docs.google.com/spreadsheets/d/1awYsYK3VOup2i3Pq_Yjnu8DRu_mYwSBnCR2QPthd0rU/edit?usp=sharing"",""โฉนดM3!H58"")"),2433)</f>
        <v>2433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335210</v>
      </c>
      <c r="M356" s="737">
        <f ca="1">M357+M358</f>
        <v>283210</v>
      </c>
      <c r="N356" s="737">
        <f ca="1">N357+N358</f>
        <v>62350</v>
      </c>
      <c r="O356" s="737">
        <f ca="1">IF(L356&gt;0,N356*100/L356,0)</f>
        <v>18.600280421228483</v>
      </c>
      <c r="P356" s="737">
        <f ca="1">IF(M356&gt;0,N356*100/M356,0)</f>
        <v>22.015465555594787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335210</v>
      </c>
      <c r="M358" s="427">
        <f ca="1">M361+M364</f>
        <v>283210</v>
      </c>
      <c r="N358" s="427">
        <f ca="1">N361+N364</f>
        <v>62350</v>
      </c>
      <c r="O358" s="427">
        <f ca="1">IF(L358&gt;0,N358*100/L358,0)</f>
        <v>18.600280421228483</v>
      </c>
      <c r="P358" s="427">
        <f ca="1">IF(M358&gt;0,N358*100/M358,0)</f>
        <v>22.015465555594787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335210</v>
      </c>
      <c r="M359" s="427">
        <f ca="1">M360+M361</f>
        <v>283210</v>
      </c>
      <c r="N359" s="427">
        <f ca="1">N360+N361</f>
        <v>62350</v>
      </c>
      <c r="O359" s="427">
        <f ca="1">IF(L359&gt;0,N359*100/L359,0)</f>
        <v>18.600280421228483</v>
      </c>
      <c r="P359" s="427">
        <f ca="1">IF(M359&gt;0,N359*100/M359,0)</f>
        <v>22.015465555594787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IFERROR(__xludf.DUMMYFUNCTION("IMPORTRANGE(""https://docs.google.com/spreadsheets/d/1-uDff_7J0KD5mKrp0Vvzr7lt3OU09vwQwhkpOPPYv2Y/edit?usp=sharing"",""งบพรบ!FC58"")"),335210)</f>
        <v>335210</v>
      </c>
      <c r="M361" s="427">
        <f ca="1">IFERROR(__xludf.DUMMYFUNCTION("IMPORTRANGE(""https://docs.google.com/spreadsheets/d/1-uDff_7J0KD5mKrp0Vvzr7lt3OU09vwQwhkpOPPYv2Y/edit?usp=sharing"",""งบพรบ!FH58"")"),283210)</f>
        <v>283210</v>
      </c>
      <c r="N361" s="427">
        <f ca="1">IFERROR(__xludf.DUMMYFUNCTION("IMPORTRANGE(""https://docs.google.com/spreadsheets/d/1-uDff_7J0KD5mKrp0Vvzr7lt3OU09vwQwhkpOPPYv2Y/edit?usp=sharing"",""งบพรบ!FJ58"")"),62350)</f>
        <v>62350</v>
      </c>
      <c r="O361" s="427">
        <f ca="1">IF(L361&gt;0,N361*100/L361,0)</f>
        <v>18.600280421228483</v>
      </c>
      <c r="P361" s="427">
        <f ca="1">IF(M361&gt;0,N361*100/M361,0)</f>
        <v>22.015465555594787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IFERROR(__xludf.DUMMYFUNCTION("IMPORTRANGE(""https://docs.google.com/spreadsheets/d/1-uDff_7J0KD5mKrp0Vvzr7lt3OU09vwQwhkpOPPYv2Y/edit?usp=sharing"",""งบพรบ!FF58"")"),0)</f>
        <v>0</v>
      </c>
      <c r="M364" s="427">
        <f ca="1">IFERROR(__xludf.DUMMYFUNCTION("IMPORTRANGE(""https://docs.google.com/spreadsheets/d/1-uDff_7J0KD5mKrp0Vvzr7lt3OU09vwQwhkpOPPYv2Y/edit?usp=sharing"",""งบพรบ!FI58"")"),0)</f>
        <v>0</v>
      </c>
      <c r="N364" s="427">
        <f ca="1">IFERROR(__xludf.DUMMYFUNCTION("IMPORTRANGE(""https://docs.google.com/spreadsheets/d/1-uDff_7J0KD5mKrp0Vvzr7lt3OU09vwQwhkpOPPYv2Y/edit?usp=sharing"",""งบพรบ!FK58"")"),0)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135</v>
      </c>
      <c r="J365" s="440">
        <f ca="1">J371</f>
        <v>52</v>
      </c>
      <c r="K365" s="441">
        <f ca="1">IF(I365&gt;0,J365*100/I365,0)</f>
        <v>38.518518518518519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IFERROR(__xludf.DUMMYFUNCTION("IMPORTRANGE(""https://docs.google.com/spreadsheets/d/1tdoBKaGub7dwA3U6UFTqxio9LNnvDCQjHKmttSEBsFQ/edit?usp=sharing"",""จัดที่ดิน!AB58"")"),0)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IFERROR(__xludf.DUMMYFUNCTION("IMPORTRANGE(""https://docs.google.com/spreadsheets/d/1eHaY18a8A9IcSdp1K8H6x8fbOy06t2VsZHhMHf-1x7Y/edit?usp=sharing"",""แผน!EW58"")"),1315)</f>
        <v>1315</v>
      </c>
      <c r="J368" s="726">
        <f ca="1">IFERROR(__xludf.DUMMYFUNCTION("IMPORTRANGE(""https://docs.google.com/spreadsheets/d/1tdoBKaGub7dwA3U6UFTqxio9LNnvDCQjHKmttSEBsFQ/edit?usp=sharing"",""จัดที่ดิน!AC58"")"),0)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IFERROR(__xludf.DUMMYFUNCTION("IMPORTRANGE(""https://docs.google.com/spreadsheets/d/1eHaY18a8A9IcSdp1K8H6x8fbOy06t2VsZHhMHf-1x7Y/edit?usp=sharing"",""แผน!EX58"")"),191)</f>
        <v>191</v>
      </c>
      <c r="J369" s="426">
        <f ca="1">IFERROR(__xludf.DUMMYFUNCTION("IMPORTRANGE(""https://docs.google.com/spreadsheets/d/1tdoBKaGub7dwA3U6UFTqxio9LNnvDCQjHKmttSEBsFQ/edit?usp=sharing"",""จัดที่ดิน!AD58"")"),52)</f>
        <v>52</v>
      </c>
      <c r="K369" s="427">
        <f ca="1">IF(I369&gt;0,J369*100/I369,0)</f>
        <v>27.225130890052355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IFERROR(__xludf.DUMMYFUNCTION("IMPORTRANGE(""https://docs.google.com/spreadsheets/d/1tdoBKaGub7dwA3U6UFTqxio9LNnvDCQjHKmttSEBsFQ/edit?usp=sharing"",""จัดที่ดิน!AE58"")"),955.38)</f>
        <v>955.38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IFERROR(__xludf.DUMMYFUNCTION("IMPORTRANGE(""https://docs.google.com/spreadsheets/d/1eHaY18a8A9IcSdp1K8H6x8fbOy06t2VsZHhMHf-1x7Y/edit?usp=sharing"",""แผน!EY58"")"),135)</f>
        <v>135</v>
      </c>
      <c r="J371" s="426">
        <f ca="1">IFERROR(__xludf.DUMMYFUNCTION("IMPORTRANGE(""https://docs.google.com/spreadsheets/d/1tdoBKaGub7dwA3U6UFTqxio9LNnvDCQjHKmttSEBsFQ/edit?usp=sharing"",""จัดที่ดิน!AF58"")"),52)</f>
        <v>52</v>
      </c>
      <c r="K371" s="427">
        <f ca="1">IF(I371&gt;0,J371*100/I371,0)</f>
        <v>38.518518518518519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IFERROR(__xludf.DUMMYFUNCTION("IMPORTRANGE(""https://docs.google.com/spreadsheets/d/1tdoBKaGub7dwA3U6UFTqxio9LNnvDCQjHKmttSEBsFQ/edit?usp=sharing"",""จัดที่ดิน!AG58"")"),955.38)</f>
        <v>955.38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IFERROR(__xludf.DUMMYFUNCTION("IMPORTRANGE(""https://docs.google.com/spreadsheets/d/1-uDff_7J0KD5mKrp0Vvzr7lt3OU09vwQwhkpOPPYv2Y/edit?usp=sharing"",""งบพรบ!FM58"")"),0)</f>
        <v>0</v>
      </c>
      <c r="M382" s="522">
        <f ca="1">IFERROR(__xludf.DUMMYFUNCTION("IMPORTRANGE(""https://docs.google.com/spreadsheets/d/1-uDff_7J0KD5mKrp0Vvzr7lt3OU09vwQwhkpOPPYv2Y/edit?usp=sharing"",""งบพรบ!FR58"")"),0)</f>
        <v>0</v>
      </c>
      <c r="N382" s="522">
        <f ca="1">IFERROR(__xludf.DUMMYFUNCTION("IMPORTRANGE(""https://docs.google.com/spreadsheets/d/1-uDff_7J0KD5mKrp0Vvzr7lt3OU09vwQwhkpOPPYv2Y/edit?usp=sharing"",""งบพรบ!FT58"")"),0)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IFERROR(__xludf.DUMMYFUNCTION("IMPORTRANGE(""https://docs.google.com/spreadsheets/d/1-uDff_7J0KD5mKrp0Vvzr7lt3OU09vwQwhkpOPPYv2Y/edit?usp=sharing"",""งบพรบ!FP58"")"),0)</f>
        <v>0</v>
      </c>
      <c r="M385" s="522">
        <f ca="1">IFERROR(__xludf.DUMMYFUNCTION("IMPORTRANGE(""https://docs.google.com/spreadsheets/d/1-uDff_7J0KD5mKrp0Vvzr7lt3OU09vwQwhkpOPPYv2Y/edit?usp=sharing"",""งบพรบ!FS58"")"),0)</f>
        <v>0</v>
      </c>
      <c r="N385" s="522">
        <f ca="1">IFERROR(__xludf.DUMMYFUNCTION("IMPORTRANGE(""https://docs.google.com/spreadsheets/d/1-uDff_7J0KD5mKrp0Vvzr7lt3OU09vwQwhkpOPPYv2Y/edit?usp=sharing"",""งบพรบ!FU58"")"),0)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71A97-2A74-4283-843A-542EFE3B3A13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0.8554687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170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1533840</v>
      </c>
      <c r="M18" s="865">
        <f ca="1">M19+M20</f>
        <v>1268230</v>
      </c>
      <c r="N18" s="865">
        <f ca="1">N19+N20</f>
        <v>562255.48</v>
      </c>
      <c r="O18" s="865">
        <f ca="1">IF(L18&gt;0,N18*100/L18,0)</f>
        <v>36.656722995879619</v>
      </c>
      <c r="P18" s="865">
        <f ca="1">IF(M18&gt;0,N18*100/M18,0)</f>
        <v>44.333873193348211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1533840</v>
      </c>
      <c r="M20" s="972">
        <f ca="1">M23+M26</f>
        <v>1268230</v>
      </c>
      <c r="N20" s="972">
        <f ca="1">N23+N26</f>
        <v>562255.48</v>
      </c>
      <c r="O20" s="972">
        <f ca="1">IF(L20&gt;0,N20*100/L20,0)</f>
        <v>36.656722995879619</v>
      </c>
      <c r="P20" s="972">
        <f ca="1">IF(M20&gt;0,N20*100/M20,0)</f>
        <v>44.333873193348211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1533840</v>
      </c>
      <c r="M21" s="427">
        <f ca="1">M22+M23</f>
        <v>1268230</v>
      </c>
      <c r="N21" s="427">
        <f ca="1">N22+N23</f>
        <v>562255.48</v>
      </c>
      <c r="O21" s="427">
        <f ca="1">IF(L21&gt;0,N21*100/L21,0)</f>
        <v>36.656722995879619</v>
      </c>
      <c r="P21" s="427">
        <f ca="1">IF(M21&gt;0,N21*100/M21,0)</f>
        <v>44.333873193348211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1533840</v>
      </c>
      <c r="M23" s="427">
        <f ca="1">M49+M64+M77+M99+M130+M144+M162+M191+M178+M271+M287+M308+M325+M338+M361+M382</f>
        <v>1268230</v>
      </c>
      <c r="N23" s="427">
        <f ca="1">N49+N64+N77+N99+N130+N144+N162+N191+N178+N271+N287+N308+N325+N338+N361+N382</f>
        <v>562255.48</v>
      </c>
      <c r="O23" s="427">
        <f ca="1">IF(L23&gt;0,N23*100/L23,0)</f>
        <v>36.656722995879619</v>
      </c>
      <c r="P23" s="427">
        <f ca="1">IF(M23&gt;0,N23*100/M23,0)</f>
        <v>44.333873193348211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1533840</v>
      </c>
      <c r="M40" s="964">
        <f ca="1">M44+M59+M72+M94+M125+M139+M157+M173+M186+M266+M282+M303+M320+M333+M356</f>
        <v>1268230</v>
      </c>
      <c r="N40" s="964">
        <f ca="1">N44+N59+N72+N94+N125+N139+N157+N173+N186+N266+N282+N303+N320+N333+N356</f>
        <v>562255.48</v>
      </c>
      <c r="O40" s="964">
        <f ca="1">IF(L40&gt;0,N40*100/L40,0)</f>
        <v>36.656722995879619</v>
      </c>
      <c r="P40" s="964">
        <f ca="1">IF(M40&gt;0,N40*100/M40,0)</f>
        <v>44.333873193348211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213450</v>
      </c>
      <c r="M44" s="949">
        <f ca="1">M45+M46</f>
        <v>220200</v>
      </c>
      <c r="N44" s="949">
        <f ca="1">N45+N46</f>
        <v>90750</v>
      </c>
      <c r="O44" s="949">
        <f ca="1">IF(L44&gt;0,N44*100/L44,0)</f>
        <v>42.515811665495434</v>
      </c>
      <c r="P44" s="949">
        <f ca="1">IF(M44&gt;0,N44*100/M44,0)</f>
        <v>41.212534059945504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213450</v>
      </c>
      <c r="M46" s="941">
        <f ca="1">M49+M52</f>
        <v>220200</v>
      </c>
      <c r="N46" s="941">
        <f ca="1">N49+N52</f>
        <v>90750</v>
      </c>
      <c r="O46" s="941">
        <f ca="1">IF(L46&gt;0,N46*100/L46,0)</f>
        <v>42.515811665495434</v>
      </c>
      <c r="P46" s="941">
        <f ca="1">IF(M46&gt;0,N46*100/M46,0)</f>
        <v>41.212534059945504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213450</v>
      </c>
      <c r="M47" s="427">
        <f ca="1">M48+M49</f>
        <v>220200</v>
      </c>
      <c r="N47" s="427">
        <f ca="1">N48+N49</f>
        <v>90750</v>
      </c>
      <c r="O47" s="427">
        <f ca="1">IF(L47&gt;0,N47*100/L47,0)</f>
        <v>42.515811665495434</v>
      </c>
      <c r="P47" s="427">
        <f ca="1">IF(M47&gt;0,N47*100/M47,0)</f>
        <v>41.212534059945504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IFERROR(__xludf.DUMMYFUNCTION("IMPORTRANGE(""https://docs.google.com/spreadsheets/d/1-uDff_7J0KD5mKrp0Vvzr7lt3OU09vwQwhkpOPPYv2Y/edit?usp=sharing"",""งบพรบ!P59"")"),213450)</f>
        <v>213450</v>
      </c>
      <c r="M49" s="427">
        <f ca="1">IFERROR(__xludf.DUMMYFUNCTION("IMPORTRANGE(""https://docs.google.com/spreadsheets/d/1-uDff_7J0KD5mKrp0Vvzr7lt3OU09vwQwhkpOPPYv2Y/edit?usp=sharing"",""งบพรบ!V59"")"),220200)</f>
        <v>220200</v>
      </c>
      <c r="N49" s="427">
        <f ca="1">IFERROR(__xludf.DUMMYFUNCTION("IMPORTRANGE(""https://docs.google.com/spreadsheets/d/1-uDff_7J0KD5mKrp0Vvzr7lt3OU09vwQwhkpOPPYv2Y/edit?usp=sharing"",""งบพรบ!Y59"")"),90750)</f>
        <v>90750</v>
      </c>
      <c r="O49" s="427">
        <f ca="1">IF(L49&gt;0,N49*100/L49,0)</f>
        <v>42.515811665495434</v>
      </c>
      <c r="P49" s="427">
        <f ca="1">IF(M49&gt;0,N49*100/M49,0)</f>
        <v>41.212534059945504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IFERROR(__xludf.DUMMYFUNCTION("IMPORTRANGE(""https://docs.google.com/spreadsheets/d/1-uDff_7J0KD5mKrp0Vvzr7lt3OU09vwQwhkpOPPYv2Y/edit?usp=sharing"",""งบพรบ!S59"")"),0)</f>
        <v>0</v>
      </c>
      <c r="M52" s="427">
        <f ca="1">IFERROR(__xludf.DUMMYFUNCTION("IMPORTRANGE(""https://docs.google.com/spreadsheets/d/1-uDff_7J0KD5mKrp0Vvzr7lt3OU09vwQwhkpOPPYv2Y/edit?usp=sharing"",""งบพรบ!W59"")"),0)</f>
        <v>0</v>
      </c>
      <c r="N52" s="427">
        <f ca="1">IFERROR(__xludf.DUMMYFUNCTION("IMPORTRANGE(""https://docs.google.com/spreadsheets/d/1-uDff_7J0KD5mKrp0Vvzr7lt3OU09vwQwhkpOPPYv2Y/edit?usp=sharing"",""งบพรบ!Z59"")"),0)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439000</v>
      </c>
      <c r="M59" s="921">
        <f ca="1">M60+M61</f>
        <v>390690</v>
      </c>
      <c r="N59" s="921">
        <f ca="1">N60+N61</f>
        <v>278380.48</v>
      </c>
      <c r="O59" s="921">
        <f ca="1">IF(L59&gt;0,N59*100/L59,0)</f>
        <v>63.412410022779042</v>
      </c>
      <c r="P59" s="921">
        <f ca="1">IF(M59&gt;0,N59*100/M59,0)</f>
        <v>71.253546289897358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439000</v>
      </c>
      <c r="M61" s="913">
        <f ca="1">M64+M67</f>
        <v>390690</v>
      </c>
      <c r="N61" s="913">
        <f ca="1">N64+N67</f>
        <v>278380.48</v>
      </c>
      <c r="O61" s="913">
        <f ca="1">IF(L61&gt;0,N61*100/L61,0)</f>
        <v>63.412410022779042</v>
      </c>
      <c r="P61" s="913">
        <f ca="1">IF(M61&gt;0,N61*100/M61,0)</f>
        <v>71.253546289897358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439000</v>
      </c>
      <c r="M62" s="427">
        <f ca="1">M63+M64</f>
        <v>390690</v>
      </c>
      <c r="N62" s="427">
        <f ca="1">N63+N64</f>
        <v>278380.48</v>
      </c>
      <c r="O62" s="427">
        <f ca="1">IF(L62&gt;0,N62*100/L62,0)</f>
        <v>63.412410022779042</v>
      </c>
      <c r="P62" s="427">
        <f ca="1">IF(M62&gt;0,N62*100/M62,0)</f>
        <v>71.253546289897358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IFERROR(__xludf.DUMMYFUNCTION("IMPORTRANGE(""https://docs.google.com/spreadsheets/d/1-uDff_7J0KD5mKrp0Vvzr7lt3OU09vwQwhkpOPPYv2Y/edit?usp=sharing"",""งบพรบ!AC59"")"),439000)</f>
        <v>439000</v>
      </c>
      <c r="M64" s="427">
        <f ca="1">IFERROR(__xludf.DUMMYFUNCTION("IMPORTRANGE(""https://docs.google.com/spreadsheets/d/1-uDff_7J0KD5mKrp0Vvzr7lt3OU09vwQwhkpOPPYv2Y/edit?usp=sharing"",""งบพรบ!AH59"")"),390690)</f>
        <v>390690</v>
      </c>
      <c r="N64" s="427">
        <f ca="1">IFERROR(__xludf.DUMMYFUNCTION("IMPORTRANGE(""https://docs.google.com/spreadsheets/d/1-uDff_7J0KD5mKrp0Vvzr7lt3OU09vwQwhkpOPPYv2Y/edit?usp=sharing"",""งบพรบ!AJ59"")"),278380.48)</f>
        <v>278380.48</v>
      </c>
      <c r="O64" s="427">
        <f ca="1">IF(L64&gt;0,N64*100/L64,0)</f>
        <v>63.412410022779042</v>
      </c>
      <c r="P64" s="427">
        <f ca="1">IF(M64&gt;0,N64*100/M64,0)</f>
        <v>71.253546289897358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IFERROR(__xludf.DUMMYFUNCTION("IMPORTRANGE(""https://docs.google.com/spreadsheets/d/1-uDff_7J0KD5mKrp0Vvzr7lt3OU09vwQwhkpOPPYv2Y/edit?usp=sharing"",""งบพรบ!AF59"")"),0)</f>
        <v>0</v>
      </c>
      <c r="M67" s="644">
        <f ca="1">IFERROR(__xludf.DUMMYFUNCTION("IMPORTRANGE(""https://docs.google.com/spreadsheets/d/1-uDff_7J0KD5mKrp0Vvzr7lt3OU09vwQwhkpOPPYv2Y/edit?usp=sharing"",""งบพรบ!AI59"")"),0)</f>
        <v>0</v>
      </c>
      <c r="N67" s="644">
        <f ca="1">IFERROR(__xludf.DUMMYFUNCTION("IMPORTRANGE(""https://docs.google.com/spreadsheets/d/1-uDff_7J0KD5mKrp0Vvzr7lt3OU09vwQwhkpOPPYv2Y/edit?usp=sharing"",""งบพรบ!AK59"")"),0)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IFERROR(__xludf.DUMMYFUNCTION("IMPORTRANGE(""https://docs.google.com/spreadsheets/d/1-uDff_7J0KD5mKrp0Vvzr7lt3OU09vwQwhkpOPPYv2Y/edit?usp=sharing"",""งบพรบ!AM59"")"),0)</f>
        <v>0</v>
      </c>
      <c r="M77" s="427">
        <f ca="1">IFERROR(__xludf.DUMMYFUNCTION("IMPORTRANGE(""https://docs.google.com/spreadsheets/d/1-uDff_7J0KD5mKrp0Vvzr7lt3OU09vwQwhkpOPPYv2Y/edit?usp=sharing"",""งบพรบ!AR59"")"),0)</f>
        <v>0</v>
      </c>
      <c r="N77" s="427">
        <f ca="1">IFERROR(__xludf.DUMMYFUNCTION("IMPORTRANGE(""https://docs.google.com/spreadsheets/d/1-uDff_7J0KD5mKrp0Vvzr7lt3OU09vwQwhkpOPPYv2Y/edit?usp=sharing"",""งบพรบ!AT59"")"),0)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IFERROR(__xludf.DUMMYFUNCTION("IMPORTRANGE(""https://docs.google.com/spreadsheets/d/1-uDff_7J0KD5mKrp0Vvzr7lt3OU09vwQwhkpOPPYv2Y/edit?usp=sharing"",""งบพรบ!AP59"")"),0)</f>
        <v>0</v>
      </c>
      <c r="M80" s="427">
        <f ca="1">IFERROR(__xludf.DUMMYFUNCTION("IMPORTRANGE(""https://docs.google.com/spreadsheets/d/1-uDff_7J0KD5mKrp0Vvzr7lt3OU09vwQwhkpOPPYv2Y/edit?usp=sharing"",""งบพรบ!AS59"")"),0)</f>
        <v>0</v>
      </c>
      <c r="N80" s="427">
        <f ca="1">IFERROR(__xludf.DUMMYFUNCTION("IMPORTRANGE(""https://docs.google.com/spreadsheets/d/1-uDff_7J0KD5mKrp0Vvzr7lt3OU09vwQwhkpOPPYv2Y/edit?usp=sharing"",""งบพรบ!AU59"")"),0)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IFERROR(__xludf.DUMMYFUNCTION("IMPORTRANGE(""https://docs.google.com/spreadsheets/d/1eHaY18a8A9IcSdp1K8H6x8fbOy06t2VsZHhMHf-1x7Y/edit?usp=sharing"",""แผน!H59"")"),0)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IFERROR(__xludf.DUMMYFUNCTION("IMPORTRANGE(""https://docs.google.com/spreadsheets/d/1eHaY18a8A9IcSdp1K8H6x8fbOy06t2VsZHhMHf-1x7Y/edit?usp=sharing"",""แผน!I59"")"),0)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IFERROR(__xludf.DUMMYFUNCTION("IMPORTRANGE(""https://docs.google.com/spreadsheets/d/1eHaY18a8A9IcSdp1K8H6x8fbOy06t2VsZHhMHf-1x7Y/edit?usp=sharing"",""แผน!F59"")"),0)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IFERROR(__xludf.DUMMYFUNCTION("IMPORTRANGE(""https://docs.google.com/spreadsheets/d/1eHaY18a8A9IcSdp1K8H6x8fbOy06t2VsZHhMHf-1x7Y/edit?usp=sharing"",""แผน!G59"")"),0)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IFERROR(__xludf.DUMMYFUNCTION("IMPORTRANGE(""https://docs.google.com/spreadsheets/d/1eHaY18a8A9IcSdp1K8H6x8fbOy06t2VsZHhMHf-1x7Y/edit?usp=sharing"",""แผน!D59"")"),0)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IFERROR(__xludf.DUMMYFUNCTION("IMPORTRANGE(""https://docs.google.com/spreadsheets/d/1eHaY18a8A9IcSdp1K8H6x8fbOy06t2VsZHhMHf-1x7Y/edit?usp=sharing"",""แผน!E59"")"),0)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IFERROR(__xludf.DUMMYFUNCTION("IMPORTRANGE(""https://docs.google.com/spreadsheets/d/1eHaY18a8A9IcSdp1K8H6x8fbOy06t2VsZHhMHf-1x7Y/edit?usp=sharing"",""แผน!J59"")"),0)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IFERROR(__xludf.DUMMYFUNCTION("IMPORTRANGE(""https://docs.google.com/spreadsheets/d/1-uDff_7J0KD5mKrp0Vvzr7lt3OU09vwQwhkpOPPYv2Y/edit?usp=sharing"",""งบพรบ!AW59"")"),0)</f>
        <v>0</v>
      </c>
      <c r="M99" s="427">
        <f ca="1">IFERROR(__xludf.DUMMYFUNCTION("IMPORTRANGE(""https://docs.google.com/spreadsheets/d/1-uDff_7J0KD5mKrp0Vvzr7lt3OU09vwQwhkpOPPYv2Y/edit?usp=sharing"",""งบพรบ!BB59"")"),0)</f>
        <v>0</v>
      </c>
      <c r="N99" s="427">
        <f ca="1">IFERROR(__xludf.DUMMYFUNCTION("IMPORTRANGE(""https://docs.google.com/spreadsheets/d/1-uDff_7J0KD5mKrp0Vvzr7lt3OU09vwQwhkpOPPYv2Y/edit?usp=sharing"",""งบพรบ!BD59"")"),0)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IFERROR(__xludf.DUMMYFUNCTION("IMPORTRANGE(""https://docs.google.com/spreadsheets/d/1-uDff_7J0KD5mKrp0Vvzr7lt3OU09vwQwhkpOPPYv2Y/edit?usp=sharing"",""งบพรบ!AZ59"")"),0)</f>
        <v>0</v>
      </c>
      <c r="M102" s="427">
        <f ca="1">IFERROR(__xludf.DUMMYFUNCTION("IMPORTRANGE(""https://docs.google.com/spreadsheets/d/1-uDff_7J0KD5mKrp0Vvzr7lt3OU09vwQwhkpOPPYv2Y/edit?usp=sharing"",""งบพรบ!BC59"")"),0)</f>
        <v>0</v>
      </c>
      <c r="N102" s="427">
        <f ca="1">IFERROR(__xludf.DUMMYFUNCTION("IMPORTRANGE(""https://docs.google.com/spreadsheets/d/1-uDff_7J0KD5mKrp0Vvzr7lt3OU09vwQwhkpOPPYv2Y/edit?usp=sharing"",""งบพรบ!BE59"")"),0)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IFERROR(__xludf.DUMMYFUNCTION("IMPORTRANGE(""https://docs.google.com/spreadsheets/d/1eHaY18a8A9IcSdp1K8H6x8fbOy06t2VsZHhMHf-1x7Y/edit?usp=sharing"",""แผน!N59"")"),0)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IFERROR(__xludf.DUMMYFUNCTION("IMPORTRANGE(""https://docs.google.com/spreadsheets/d/1eHaY18a8A9IcSdp1K8H6x8fbOy06t2VsZHhMHf-1x7Y/edit?usp=sharing"",""แผน!O59"")"),0)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IFERROR(__xludf.DUMMYFUNCTION("IMPORTRANGE(""https://docs.google.com/spreadsheets/d/1eHaY18a8A9IcSdp1K8H6x8fbOy06t2VsZHhMHf-1x7Y/edit?usp=sharing"",""แผน!R59"")"),0)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IFERROR(__xludf.DUMMYFUNCTION("IMPORTRANGE(""https://docs.google.com/spreadsheets/d/1-uDff_7J0KD5mKrp0Vvzr7lt3OU09vwQwhkpOPPYv2Y/edit?usp=sharing"",""งบพรบ!BG59"")"),0)</f>
        <v>0</v>
      </c>
      <c r="M130" s="886">
        <f ca="1">IFERROR(__xludf.DUMMYFUNCTION("IMPORTRANGE(""https://docs.google.com/spreadsheets/d/1-uDff_7J0KD5mKrp0Vvzr7lt3OU09vwQwhkpOPPYv2Y/edit?usp=sharing"",""งบพรบ!BL59"")"),0)</f>
        <v>0</v>
      </c>
      <c r="N130" s="886">
        <f ca="1">IFERROR(__xludf.DUMMYFUNCTION("IMPORTRANGE(""https://docs.google.com/spreadsheets/d/1-uDff_7J0KD5mKrp0Vvzr7lt3OU09vwQwhkpOPPYv2Y/edit?usp=sharing"",""งบพรบ!BN59"")"),0)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IFERROR(__xludf.DUMMYFUNCTION("IMPORTRANGE(""https://docs.google.com/spreadsheets/d/1-uDff_7J0KD5mKrp0Vvzr7lt3OU09vwQwhkpOPPYv2Y/edit?usp=sharing"",""งบพรบ!BJ59"")"),0)</f>
        <v>0</v>
      </c>
      <c r="M133" s="886">
        <f ca="1">IFERROR(__xludf.DUMMYFUNCTION("IMPORTRANGE(""https://docs.google.com/spreadsheets/d/1-uDff_7J0KD5mKrp0Vvzr7lt3OU09vwQwhkpOPPYv2Y/edit?usp=sharing"",""งบพรบ!BM59"")"),0)</f>
        <v>0</v>
      </c>
      <c r="N133" s="886">
        <f ca="1">IFERROR(__xludf.DUMMYFUNCTION("IMPORTRANGE(""https://docs.google.com/spreadsheets/d/1-uDff_7J0KD5mKrp0Vvzr7lt3OU09vwQwhkpOPPYv2Y/edit?usp=sharing"",""งบพรบ!BO59"")"),0)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IFERROR(__xludf.DUMMYFUNCTION("IMPORTRANGE(""https://docs.google.com/spreadsheets/d/1-uDff_7J0KD5mKrp0Vvzr7lt3OU09vwQwhkpOPPYv2Y/edit?usp=sharing"",""งบพรบ!BQ59"")"),0)</f>
        <v>0</v>
      </c>
      <c r="M144" s="427">
        <f ca="1">IFERROR(__xludf.DUMMYFUNCTION("IMPORTRANGE(""https://docs.google.com/spreadsheets/d/1-uDff_7J0KD5mKrp0Vvzr7lt3OU09vwQwhkpOPPYv2Y/edit?usp=sharing"",""งบพรบ!BV59"")"),0)</f>
        <v>0</v>
      </c>
      <c r="N144" s="427">
        <f ca="1">IFERROR(__xludf.DUMMYFUNCTION("IMPORTRANGE(""https://docs.google.com/spreadsheets/d/1-uDff_7J0KD5mKrp0Vvzr7lt3OU09vwQwhkpOPPYv2Y/edit?usp=sharing"",""งบพรบ!BX59"")"),0)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IFERROR(__xludf.DUMMYFUNCTION("IMPORTRANGE(""https://docs.google.com/spreadsheets/d/1-uDff_7J0KD5mKrp0Vvzr7lt3OU09vwQwhkpOPPYv2Y/edit?usp=sharing"",""งบพรบ!BT59"")"),0)</f>
        <v>0</v>
      </c>
      <c r="M147" s="427">
        <f ca="1">IFERROR(__xludf.DUMMYFUNCTION("IMPORTRANGE(""https://docs.google.com/spreadsheets/d/1-uDff_7J0KD5mKrp0Vvzr7lt3OU09vwQwhkpOPPYv2Y/edit?usp=sharing"",""งบพรบ!BW59"")"),0)</f>
        <v>0</v>
      </c>
      <c r="N147" s="427">
        <f ca="1">IFERROR(__xludf.DUMMYFUNCTION("IMPORTRANGE(""https://docs.google.com/spreadsheets/d/1-uDff_7J0KD5mKrp0Vvzr7lt3OU09vwQwhkpOPPYv2Y/edit?usp=sharing"",""งบพรบ!BY59"")"),0)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IFERROR(__xludf.DUMMYFUNCTION("IMPORTRANGE(""https://docs.google.com/spreadsheets/d/1eHaY18a8A9IcSdp1K8H6x8fbOy06t2VsZHhMHf-1x7Y/edit?usp=sharing"",""แผน!U59"")"),0)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IFERROR(__xludf.DUMMYFUNCTION("IMPORTRANGE(""https://docs.google.com/spreadsheets/d/1eHaY18a8A9IcSdp1K8H6x8fbOy06t2VsZHhMHf-1x7Y/edit?usp=sharing"",""แผน!V59"")"),0)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IFERROR(__xludf.DUMMYFUNCTION("IMPORTRANGE(""https://docs.google.com/spreadsheets/d/1eHaY18a8A9IcSdp1K8H6x8fbOy06t2VsZHhMHf-1x7Y/edit?usp=sharing"",""แผน!W59"")"),0)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IFERROR(__xludf.DUMMYFUNCTION("IMPORTRANGE(""https://docs.google.com/spreadsheets/d/1eHaY18a8A9IcSdp1K8H6x8fbOy06t2VsZHhMHf-1x7Y/edit?usp=sharing"",""แผน!X59"")"),0)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IFERROR(__xludf.DUMMYFUNCTION("IMPORTRANGE(""https://docs.google.com/spreadsheets/d/1eHaY18a8A9IcSdp1K8H6x8fbOy06t2VsZHhMHf-1x7Y/edit?usp=sharing"",""แผน!Y59"")"),0)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IFERROR(__xludf.DUMMYFUNCTION("IMPORTRANGE(""https://docs.google.com/spreadsheets/d/1-uDff_7J0KD5mKrp0Vvzr7lt3OU09vwQwhkpOPPYv2Y/edit?usp=sharing"",""งบพรบ!CA59"")"),0)</f>
        <v>0</v>
      </c>
      <c r="M162" s="427">
        <f ca="1">IFERROR(__xludf.DUMMYFUNCTION("IMPORTRANGE(""https://docs.google.com/spreadsheets/d/1-uDff_7J0KD5mKrp0Vvzr7lt3OU09vwQwhkpOPPYv2Y/edit?usp=sharing"",""งบพรบ!CF59"")"),0)</f>
        <v>0</v>
      </c>
      <c r="N162" s="427">
        <f ca="1">IFERROR(__xludf.DUMMYFUNCTION("IMPORTRANGE(""https://docs.google.com/spreadsheets/d/1-uDff_7J0KD5mKrp0Vvzr7lt3OU09vwQwhkpOPPYv2Y/edit?usp=sharing"",""งบพรบ!CH59"")"),0)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IFERROR(__xludf.DUMMYFUNCTION("IMPORTRANGE(""https://docs.google.com/spreadsheets/d/1-uDff_7J0KD5mKrp0Vvzr7lt3OU09vwQwhkpOPPYv2Y/edit?usp=sharing"",""งบพรบ!CD59"")"),0)</f>
        <v>0</v>
      </c>
      <c r="M165" s="427">
        <f ca="1">IFERROR(__xludf.DUMMYFUNCTION("IMPORTRANGE(""https://docs.google.com/spreadsheets/d/1-uDff_7J0KD5mKrp0Vvzr7lt3OU09vwQwhkpOPPYv2Y/edit?usp=sharing"",""งบพรบ!CG59"")"),0)</f>
        <v>0</v>
      </c>
      <c r="N165" s="427">
        <f ca="1">IFERROR(__xludf.DUMMYFUNCTION("IMPORTRANGE(""https://docs.google.com/spreadsheets/d/1-uDff_7J0KD5mKrp0Vvzr7lt3OU09vwQwhkpOPPYv2Y/edit?usp=sharing"",""งบพรบ!CI59"")"),0)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IFERROR(__xludf.DUMMYFUNCTION("IMPORTRANGE(""https://docs.google.com/spreadsheets/d/1eHaY18a8A9IcSdp1K8H6x8fbOy06t2VsZHhMHf-1x7Y/edit?usp=sharing"",""แผน!Z59"")"),0)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IFERROR(__xludf.DUMMYFUNCTION("IMPORTRANGE(""https://docs.google.com/spreadsheets/d/1eHaY18a8A9IcSdp1K8H6x8fbOy06t2VsZHhMHf-1x7Y/edit?usp=sharing"",""แผน!Z59"")"),0)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IFERROR(__xludf.DUMMYFUNCTION("IMPORTRANGE(""https://docs.google.com/spreadsheets/d/1eHaY18a8A9IcSdp1K8H6x8fbOy06t2VsZHhMHf-1x7Y/edit?usp=sharing"",""แผน!Z59"")"),0)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hidden="1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0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hidden="1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0</v>
      </c>
      <c r="M173" s="737">
        <f ca="1">M174+M175</f>
        <v>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hidden="1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0</v>
      </c>
      <c r="M175" s="427">
        <f ca="1">M178+M181</f>
        <v>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hidden="1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0</v>
      </c>
      <c r="M176" s="427">
        <f ca="1">M177+M178</f>
        <v>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hidden="1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IFERROR(__xludf.DUMMYFUNCTION("IMPORTRANGE(""https://docs.google.com/spreadsheets/d/1-uDff_7J0KD5mKrp0Vvzr7lt3OU09vwQwhkpOPPYv2Y/edit?usp=sharing"",""งบพรบ!CK59"")"),0)</f>
        <v>0</v>
      </c>
      <c r="M178" s="427">
        <f ca="1">IFERROR(__xludf.DUMMYFUNCTION("IMPORTRANGE(""https://docs.google.com/spreadsheets/d/1-uDff_7J0KD5mKrp0Vvzr7lt3OU09vwQwhkpOPPYv2Y/edit?usp=sharing"",""งบพรบ!CP59"")"),0)</f>
        <v>0</v>
      </c>
      <c r="N178" s="427">
        <f ca="1">IFERROR(__xludf.DUMMYFUNCTION("IMPORTRANGE(""https://docs.google.com/spreadsheets/d/1-uDff_7J0KD5mKrp0Vvzr7lt3OU09vwQwhkpOPPYv2Y/edit?usp=sharing"",""งบพรบ!CR59"")"),0)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hidden="1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hidden="1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IFERROR(__xludf.DUMMYFUNCTION("IMPORTRANGE(""https://docs.google.com/spreadsheets/d/1-uDff_7J0KD5mKrp0Vvzr7lt3OU09vwQwhkpOPPYv2Y/edit?usp=sharing"",""งบพรบ!CN59"")"),0)</f>
        <v>0</v>
      </c>
      <c r="M181" s="427">
        <f ca="1">IFERROR(__xludf.DUMMYFUNCTION("IMPORTRANGE(""https://docs.google.com/spreadsheets/d/1-uDff_7J0KD5mKrp0Vvzr7lt3OU09vwQwhkpOPPYv2Y/edit?usp=sharing"",""งบพรบ!CQ59"")"),0)</f>
        <v>0</v>
      </c>
      <c r="N181" s="427">
        <f ca="1">IFERROR(__xludf.DUMMYFUNCTION("IMPORTRANGE(""https://docs.google.com/spreadsheets/d/1-uDff_7J0KD5mKrp0Vvzr7lt3OU09vwQwhkpOPPYv2Y/edit?usp=sharing"",""งบพรบ!CS59"")"),0)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hidden="1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hidden="1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IFERROR(__xludf.DUMMYFUNCTION("IMPORTRANGE(""https://docs.google.com/spreadsheets/d/1eHaY18a8A9IcSdp1K8H6x8fbOy06t2VsZHhMHf-1x7Y/edit?usp=sharing"",""แผน!AA59"")"),0)</f>
        <v>0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20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234300</v>
      </c>
      <c r="M186" s="737">
        <f ca="1">M187+M188</f>
        <v>174600</v>
      </c>
      <c r="N186" s="737">
        <f ca="1">N187+N188</f>
        <v>62359</v>
      </c>
      <c r="O186" s="737">
        <f ca="1">IF(L186&gt;0,N186*100/L186,0)</f>
        <v>26.615023474178404</v>
      </c>
      <c r="P186" s="737">
        <f ca="1">IF(M186&gt;0,N186*100/M186,0)</f>
        <v>35.715349369988544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234300</v>
      </c>
      <c r="M188" s="427">
        <f ca="1">M191+M194</f>
        <v>174600</v>
      </c>
      <c r="N188" s="427">
        <f ca="1">N191+N194</f>
        <v>62359</v>
      </c>
      <c r="O188" s="427">
        <f ca="1">IF(L188&gt;0,N188*100/L188,0)</f>
        <v>26.615023474178404</v>
      </c>
      <c r="P188" s="427">
        <f ca="1">IF(M188&gt;0,N188*100/M188,0)</f>
        <v>35.715349369988544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234300</v>
      </c>
      <c r="M189" s="427">
        <f ca="1">M190+M191</f>
        <v>174600</v>
      </c>
      <c r="N189" s="427">
        <f ca="1">N190+N191</f>
        <v>62359</v>
      </c>
      <c r="O189" s="427">
        <f ca="1">IF(L189&gt;0,N189*100/L189,0)</f>
        <v>26.615023474178404</v>
      </c>
      <c r="P189" s="427">
        <f ca="1">IF(M189&gt;0,N189*100/M189,0)</f>
        <v>35.715349369988544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IFERROR(__xludf.DUMMYFUNCTION("IMPORTRANGE(""https://docs.google.com/spreadsheets/d/1-uDff_7J0KD5mKrp0Vvzr7lt3OU09vwQwhkpOPPYv2Y/edit?usp=sharing"",""งบพรบ!CU59"")"),234300)</f>
        <v>234300</v>
      </c>
      <c r="M191" s="427">
        <f ca="1">IFERROR(__xludf.DUMMYFUNCTION("IMPORTRANGE(""https://docs.google.com/spreadsheets/d/1-uDff_7J0KD5mKrp0Vvzr7lt3OU09vwQwhkpOPPYv2Y/edit?usp=sharing"",""งบพรบ!CZ59"")"),174600)</f>
        <v>174600</v>
      </c>
      <c r="N191" s="427">
        <f ca="1">IFERROR(__xludf.DUMMYFUNCTION("IMPORTRANGE(""https://docs.google.com/spreadsheets/d/1-uDff_7J0KD5mKrp0Vvzr7lt3OU09vwQwhkpOPPYv2Y/edit?usp=sharing"",""งบพรบ!DB59"")"),62359)</f>
        <v>62359</v>
      </c>
      <c r="O191" s="427">
        <f ca="1">IF(L191&gt;0,N191*100/L191,0)</f>
        <v>26.615023474178404</v>
      </c>
      <c r="P191" s="427">
        <f ca="1">IF(M191&gt;0,N191*100/M191,0)</f>
        <v>35.715349369988544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IFERROR(__xludf.DUMMYFUNCTION("IMPORTRANGE(""https://docs.google.com/spreadsheets/d/1-uDff_7J0KD5mKrp0Vvzr7lt3OU09vwQwhkpOPPYv2Y/edit?usp=sharing"",""งบพรบ!CX59"")"),0)</f>
        <v>0</v>
      </c>
      <c r="M194" s="427">
        <f ca="1">IFERROR(__xludf.DUMMYFUNCTION("IMPORTRANGE(""https://docs.google.com/spreadsheets/d/1-uDff_7J0KD5mKrp0Vvzr7lt3OU09vwQwhkpOPPYv2Y/edit?usp=sharing"",""งบพรบ!DA59"")"),0)</f>
        <v>0</v>
      </c>
      <c r="N194" s="427">
        <f ca="1">IFERROR(__xludf.DUMMYFUNCTION("IMPORTRANGE(""https://docs.google.com/spreadsheets/d/1-uDff_7J0KD5mKrp0Vvzr7lt3OU09vwQwhkpOPPYv2Y/edit?usp=sharing"",""งบพรบ!DC59"")"),0)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IFERROR(__xludf.DUMMYFUNCTION("IMPORTRANGE(""https://docs.google.com/spreadsheets/d/1eHaY18a8A9IcSdp1K8H6x8fbOy06t2VsZHhMHf-1x7Y/edit?usp=sharing"",""แผน!AB59"")"),6000)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IFERROR(__xludf.DUMMYFUNCTION("IMPORTRANGE(""https://docs.google.com/spreadsheets/d/1eHaY18a8A9IcSdp1K8H6x8fbOy06t2VsZHhMHf-1x7Y/edit?usp=sharing"",""แผน!AE59"")"),4)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IFERROR(__xludf.DUMMYFUNCTION("IMPORTRANGE(""https://docs.google.com/spreadsheets/d/1eHaY18a8A9IcSdp1K8H6x8fbOy06t2VsZHhMHf-1x7Y/edit?usp=sharing"",""แผน!AG59"")"),1000)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IFERROR(__xludf.DUMMYFUNCTION("IMPORTRANGE(""https://docs.google.com/spreadsheets/d/1eHaY18a8A9IcSdp1K8H6x8fbOy06t2VsZHhMHf-1x7Y/edit?usp=sharing"",""แผน!AH59"")"),0)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IFERROR(__xludf.DUMMYFUNCTION("IMPORTRANGE(""https://docs.google.com/spreadsheets/d/1eHaY18a8A9IcSdp1K8H6x8fbOy06t2VsZHhMHf-1x7Y/edit?usp=sharing"",""แผน!AI59"")"),8000)</f>
        <v>8000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IFERROR(__xludf.DUMMYFUNCTION("IMPORTRANGE(""https://docs.google.com/spreadsheets/d/1eHaY18a8A9IcSdp1K8H6x8fbOy06t2VsZHhMHf-1x7Y/edit?usp=sharing"",""แผน!AJ59"")"),4000)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IFERROR(__xludf.DUMMYFUNCTION("IMPORTRANGE(""https://docs.google.com/spreadsheets/d/1eHaY18a8A9IcSdp1K8H6x8fbOy06t2VsZHhMHf-1x7Y/edit?usp=sharing"",""แผน!AK59"")"),1)</f>
        <v>1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IFERROR(__xludf.DUMMYFUNCTION("IMPORTRANGE(""https://docs.google.com/spreadsheets/d/1eHaY18a8A9IcSdp1K8H6x8fbOy06t2VsZHhMHf-1x7Y/edit?usp=sharing"",""แผน!JX59"")"),1)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IFERROR(__xludf.DUMMYFUNCTION("IMPORTRANGE(""https://docs.google.com/spreadsheets/d/1eHaY18a8A9IcSdp1K8H6x8fbOy06t2VsZHhMHf-1x7Y/edit?usp=sharing"",""แผน!JY59"")"),0)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IFERROR(__xludf.DUMMYFUNCTION("IMPORTRANGE(""https://docs.google.com/spreadsheets/d/1eHaY18a8A9IcSdp1K8H6x8fbOy06t2VsZHhMHf-1x7Y/edit?usp=sharing"",""แผน!AM59"")"),0)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IFERROR(__xludf.DUMMYFUNCTION("IMPORTRANGE(""https://docs.google.com/spreadsheets/d/1eHaY18a8A9IcSdp1K8H6x8fbOy06t2VsZHhMHf-1x7Y/edit?usp=sharing"",""แผน!AN59"")"),0)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IFERROR(__xludf.DUMMYFUNCTION("IMPORTRANGE(""https://docs.google.com/spreadsheets/d/1eHaY18a8A9IcSdp1K8H6x8fbOy06t2VsZHhMHf-1x7Y/edit?usp=sharing"",""แผน!AO59"")"),0)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IFERROR(__xludf.DUMMYFUNCTION("IMPORTRANGE(""https://docs.google.com/spreadsheets/d/1eHaY18a8A9IcSdp1K8H6x8fbOy06t2VsZHhMHf-1x7Y/edit?usp=sharing"",""แผน!AP59"")"),0)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IFERROR(__xludf.DUMMYFUNCTION("IMPORTRANGE(""https://docs.google.com/spreadsheets/d/1eHaY18a8A9IcSdp1K8H6x8fbOy06t2VsZHhMHf-1x7Y/edit?usp=sharing"",""แผน!AP59"")"),0)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30000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6500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IFERROR(__xludf.DUMMYFUNCTION("IMPORTRANGE(""https://docs.google.com/spreadsheets/d/1eHaY18a8A9IcSdp1K8H6x8fbOy06t2VsZHhMHf-1x7Y/edit?usp=sharing"",""แผน!AR59"")"),5000)</f>
        <v>5000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IFERROR(__xludf.DUMMYFUNCTION("IMPORTRANGE(""https://docs.google.com/spreadsheets/d/1eHaY18a8A9IcSdp1K8H6x8fbOy06t2VsZHhMHf-1x7Y/edit?usp=sharing"",""แผน!AS59"")"),1500)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IFERROR(__xludf.DUMMYFUNCTION("IMPORTRANGE(""https://docs.google.com/spreadsheets/d/1eHaY18a8A9IcSdp1K8H6x8fbOy06t2VsZHhMHf-1x7Y/edit?usp=sharing"",""แผน!AT59"")"),0)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IFERROR(__xludf.DUMMYFUNCTION("IMPORTRANGE(""https://docs.google.com/spreadsheets/d/1eHaY18a8A9IcSdp1K8H6x8fbOy06t2VsZHhMHf-1x7Y/edit?usp=sharing"",""แผน!AV59"")"),30000)</f>
        <v>30000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IFERROR(__xludf.DUMMYFUNCTION("IMPORTRANGE(""https://docs.google.com/spreadsheets/d/1eHaY18a8A9IcSdp1K8H6x8fbOy06t2VsZHhMHf-1x7Y/edit?usp=sharing"",""แผน!AV59"")"),30000)</f>
        <v>30000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IFERROR(__xludf.DUMMYFUNCTION("IMPORTRANGE(""https://docs.google.com/spreadsheets/d/1eHaY18a8A9IcSdp1K8H6x8fbOy06t2VsZHhMHf-1x7Y/edit?usp=sharing"",""แผน!AU59"")"),0)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20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41600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12600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19000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20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20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165</v>
      </c>
      <c r="D242" s="284"/>
      <c r="E242" s="284"/>
      <c r="F242" s="284"/>
      <c r="G242" s="285"/>
      <c r="H242" s="286" t="s">
        <v>33</v>
      </c>
      <c r="I242" s="287">
        <f ca="1">I249</f>
        <v>20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41600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IFERROR(__xludf.DUMMYFUNCTION("IMPORTRANGE(""https://docs.google.com/spreadsheets/d/1eHaY18a8A9IcSdp1K8H6x8fbOy06t2VsZHhMHf-1x7Y/edit?usp=sharing"",""แผน!AX59"")"),8000)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IFERROR(__xludf.DUMMYFUNCTION("IMPORTRANGE(""https://docs.google.com/spreadsheets/d/1eHaY18a8A9IcSdp1K8H6x8fbOy06t2VsZHhMHf-1x7Y/edit?usp=sharing"",""แผน!AY59"")"),2000)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IFERROR(__xludf.DUMMYFUNCTION("IMPORTRANGE(""https://docs.google.com/spreadsheets/d/1eHaY18a8A9IcSdp1K8H6x8fbOy06t2VsZHhMHf-1x7Y/edit?usp=sharing"",""แผน!AZ59"")"),12600)</f>
        <v>12600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IFERROR(__xludf.DUMMYFUNCTION("IMPORTRANGE(""https://docs.google.com/spreadsheets/d/1eHaY18a8A9IcSdp1K8H6x8fbOy06t2VsZHhMHf-1x7Y/edit?usp=sharing"",""แผน!BA59"")"),19000)</f>
        <v>19000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IFERROR(__xludf.DUMMYFUNCTION("IMPORTRANGE(""https://docs.google.com/spreadsheets/d/1eHaY18a8A9IcSdp1K8H6x8fbOy06t2VsZHhMHf-1x7Y/edit?usp=sharing"",""แผน!BG59"")"),20)</f>
        <v>20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IFERROR(__xludf.DUMMYFUNCTION("IMPORTRANGE(""https://docs.google.com/spreadsheets/d/1eHaY18a8A9IcSdp1K8H6x8fbOy06t2VsZHhMHf-1x7Y/edit?usp=sharing"",""แผน!KB59"")"),20)</f>
        <v>20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IFERROR(__xludf.DUMMYFUNCTION("IMPORTRANGE(""https://docs.google.com/spreadsheets/d/1eHaY18a8A9IcSdp1K8H6x8fbOy06t2VsZHhMHf-1x7Y/edit?usp=sharing"",""แผน!KC59"")"),1)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IFERROR(__xludf.DUMMYFUNCTION("IMPORTRANGE(""https://docs.google.com/spreadsheets/d/1eHaY18a8A9IcSdp1K8H6x8fbOy06t2VsZHhMHf-1x7Y/edit?usp=sharing"",""แผน!BB59"")"),0)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IFERROR(__xludf.DUMMYFUNCTION("IMPORTRANGE(""https://docs.google.com/spreadsheets/d/1eHaY18a8A9IcSdp1K8H6x8fbOy06t2VsZHhMHf-1x7Y/edit?usp=sharing"",""แผน!BC59"")"),0)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IFERROR(__xludf.DUMMYFUNCTION("IMPORTRANGE(""https://docs.google.com/spreadsheets/d/1eHaY18a8A9IcSdp1K8H6x8fbOy06t2VsZHhMHf-1x7Y/edit?usp=sharing"",""แผน!BD59"")"),0)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IFERROR(__xludf.DUMMYFUNCTION("IMPORTRANGE(""https://docs.google.com/spreadsheets/d/1eHaY18a8A9IcSdp1K8H6x8fbOy06t2VsZHhMHf-1x7Y/edit?usp=sharing"",""แผน!BE59"")"),0)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IFERROR(__xludf.DUMMYFUNCTION("IMPORTRANGE(""https://docs.google.com/spreadsheets/d/1eHaY18a8A9IcSdp1K8H6x8fbOy06t2VsZHhMHf-1x7Y/edit?usp=sharing"",""แผน!BH59"")"),0)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IFERROR(__xludf.DUMMYFUNCTION("IMPORTRANGE(""https://docs.google.com/spreadsheets/d/1-uDff_7J0KD5mKrp0Vvzr7lt3OU09vwQwhkpOPPYv2Y/edit?usp=sharing"",""งบพรบ!DE59"")"),0)</f>
        <v>0</v>
      </c>
      <c r="M271" s="522">
        <f ca="1">IFERROR(__xludf.DUMMYFUNCTION("IMPORTRANGE(""https://docs.google.com/spreadsheets/d/1-uDff_7J0KD5mKrp0Vvzr7lt3OU09vwQwhkpOPPYv2Y/edit?usp=sharing"",""งบพรบ!DJ59"")"),0)</f>
        <v>0</v>
      </c>
      <c r="N271" s="522">
        <f ca="1">IFERROR(__xludf.DUMMYFUNCTION("IMPORTRANGE(""https://docs.google.com/spreadsheets/d/1-uDff_7J0KD5mKrp0Vvzr7lt3OU09vwQwhkpOPPYv2Y/edit?usp=sharing"",""งบพรบ!DL59"")"),0)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IFERROR(__xludf.DUMMYFUNCTION("IMPORTRANGE(""https://docs.google.com/spreadsheets/d/1-uDff_7J0KD5mKrp0Vvzr7lt3OU09vwQwhkpOPPYv2Y/edit?usp=sharing"",""งบพรบ!DH59"")"),0)</f>
        <v>0</v>
      </c>
      <c r="M274" s="522">
        <f ca="1">IFERROR(__xludf.DUMMYFUNCTION("IMPORTRANGE(""https://docs.google.com/spreadsheets/d/1-uDff_7J0KD5mKrp0Vvzr7lt3OU09vwQwhkpOPPYv2Y/edit?usp=sharing"",""งบพรบ!DK59"")"),0)</f>
        <v>0</v>
      </c>
      <c r="N274" s="522">
        <f ca="1">IFERROR(__xludf.DUMMYFUNCTION("IMPORTRANGE(""https://docs.google.com/spreadsheets/d/1-uDff_7J0KD5mKrp0Vvzr7lt3OU09vwQwhkpOPPYv2Y/edit?usp=sharing"",""งบพรบ!DM59"")"),0)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IFERROR(__xludf.DUMMYFUNCTION("IMPORTRANGE(""https://docs.google.com/spreadsheets/d/1-uDff_7J0KD5mKrp0Vvzr7lt3OU09vwQwhkpOPPYv2Y/edit?usp=sharing"",""งบพรบ!DO59"")"),0)</f>
        <v>0</v>
      </c>
      <c r="M287" s="427">
        <f ca="1">IFERROR(__xludf.DUMMYFUNCTION("IMPORTRANGE(""https://docs.google.com/spreadsheets/d/1-uDff_7J0KD5mKrp0Vvzr7lt3OU09vwQwhkpOPPYv2Y/edit?usp=sharing"",""งบพรบ!DT59"")"),0)</f>
        <v>0</v>
      </c>
      <c r="N287" s="427">
        <f ca="1">IFERROR(__xludf.DUMMYFUNCTION("IMPORTRANGE(""https://docs.google.com/spreadsheets/d/1-uDff_7J0KD5mKrp0Vvzr7lt3OU09vwQwhkpOPPYv2Y/edit?usp=sharing"",""งบพรบ!DV59"")"),0)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IFERROR(__xludf.DUMMYFUNCTION("IMPORTRANGE(""https://docs.google.com/spreadsheets/d/1-uDff_7J0KD5mKrp0Vvzr7lt3OU09vwQwhkpOPPYv2Y/edit?usp=sharing"",""งบพรบ!DR59"")"),0)</f>
        <v>0</v>
      </c>
      <c r="M290" s="427">
        <f ca="1">IFERROR(__xludf.DUMMYFUNCTION("IMPORTRANGE(""https://docs.google.com/spreadsheets/d/1-uDff_7J0KD5mKrp0Vvzr7lt3OU09vwQwhkpOPPYv2Y/edit?usp=sharing"",""งบพรบ!DU59"")"),0)</f>
        <v>0</v>
      </c>
      <c r="N290" s="427">
        <f ca="1">IFERROR(__xludf.DUMMYFUNCTION("IMPORTRANGE(""https://docs.google.com/spreadsheets/d/1-uDff_7J0KD5mKrp0Vvzr7lt3OU09vwQwhkpOPPYv2Y/edit?usp=sharing"",""งบพรบ!DW59"")"),0)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IFERROR(__xludf.DUMMYFUNCTION("IMPORTRANGE(""https://docs.google.com/spreadsheets/d/1eHaY18a8A9IcSdp1K8H6x8fbOy06t2VsZHhMHf-1x7Y/edit?usp=sharing"",""แผน!EE59"")"),0)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IFERROR(__xludf.DUMMYFUNCTION("IMPORTRANGE(""https://docs.google.com/spreadsheets/d/1eHaY18a8A9IcSdp1K8H6x8fbOy06t2VsZHhMHf-1x7Y/edit?usp=sharing"",""แผน!ED59"")"),0)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IFERROR(__xludf.DUMMYFUNCTION("IMPORTRANGE(""https://docs.google.com/spreadsheets/d/1eHaY18a8A9IcSdp1K8H6x8fbOy06t2VsZHhMHf-1x7Y/edit?usp=sharing"",""แผน!ED59"")"),0)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IFERROR(__xludf.DUMMYFUNCTION("IMPORTRANGE(""https://docs.google.com/spreadsheets/d/1eHaY18a8A9IcSdp1K8H6x8fbOy06t2VsZHhMHf-1x7Y/edit?usp=sharing"",""แผน!ED59"")"),0)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15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166000</v>
      </c>
      <c r="M303" s="737">
        <f ca="1">M304+M305</f>
        <v>123300</v>
      </c>
      <c r="N303" s="737">
        <f ca="1">N304+N305</f>
        <v>29200</v>
      </c>
      <c r="O303" s="737">
        <f ca="1">IF(L303&gt;0,N303*100/L303,0)</f>
        <v>17.590361445783131</v>
      </c>
      <c r="P303" s="737">
        <f ca="1">IF(M303&gt;0,N303*100/M303,0)</f>
        <v>23.682076236820762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166000</v>
      </c>
      <c r="M305" s="427">
        <f ca="1">M308+M311</f>
        <v>123300</v>
      </c>
      <c r="N305" s="427">
        <f ca="1">N308+N311</f>
        <v>29200</v>
      </c>
      <c r="O305" s="427">
        <f ca="1">IF(L305&gt;0,N305*100/L305,0)</f>
        <v>17.590361445783131</v>
      </c>
      <c r="P305" s="427">
        <f ca="1">IF(M305&gt;0,N305*100/M305,0)</f>
        <v>23.682076236820762</v>
      </c>
    </row>
    <row r="306" spans="1:16" ht="18.75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166000</v>
      </c>
      <c r="M306" s="427">
        <f ca="1">M307+M308</f>
        <v>123300</v>
      </c>
      <c r="N306" s="427">
        <f ca="1">N307+N308</f>
        <v>29200</v>
      </c>
      <c r="O306" s="427">
        <f ca="1">IF(L306&gt;0,N306*100/L306,0)</f>
        <v>17.590361445783131</v>
      </c>
      <c r="P306" s="427">
        <f ca="1">IF(M306&gt;0,N306*100/M306,0)</f>
        <v>23.682076236820762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IFERROR(__xludf.DUMMYFUNCTION("IMPORTRANGE(""https://docs.google.com/spreadsheets/d/1-uDff_7J0KD5mKrp0Vvzr7lt3OU09vwQwhkpOPPYv2Y/edit?usp=sharing"",""งบพรบ!DY59"")"),166000)</f>
        <v>166000</v>
      </c>
      <c r="M308" s="427">
        <f ca="1">IFERROR(__xludf.DUMMYFUNCTION("IMPORTRANGE(""https://docs.google.com/spreadsheets/d/1-uDff_7J0KD5mKrp0Vvzr7lt3OU09vwQwhkpOPPYv2Y/edit?usp=sharing"",""งบพรบ!ED59"")"),123300)</f>
        <v>123300</v>
      </c>
      <c r="N308" s="427">
        <f ca="1">IFERROR(__xludf.DUMMYFUNCTION("IMPORTRANGE(""https://docs.google.com/spreadsheets/d/1-uDff_7J0KD5mKrp0Vvzr7lt3OU09vwQwhkpOPPYv2Y/edit?usp=sharing"",""งบพรบ!EF59"")"),29200)</f>
        <v>29200</v>
      </c>
      <c r="O308" s="427">
        <f ca="1">IF(L308&gt;0,N308*100/L308,0)</f>
        <v>17.590361445783131</v>
      </c>
      <c r="P308" s="427">
        <f ca="1">IF(M308&gt;0,N308*100/M308,0)</f>
        <v>23.682076236820762</v>
      </c>
    </row>
    <row r="309" spans="1:16" ht="18.75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IFERROR(__xludf.DUMMYFUNCTION("IMPORTRANGE(""https://docs.google.com/spreadsheets/d/1-uDff_7J0KD5mKrp0Vvzr7lt3OU09vwQwhkpOPPYv2Y/edit?usp=sharing"",""งบพรบ!EB59"")"),0)</f>
        <v>0</v>
      </c>
      <c r="M311" s="427">
        <f ca="1">IFERROR(__xludf.DUMMYFUNCTION("IMPORTRANGE(""https://docs.google.com/spreadsheets/d/1-uDff_7J0KD5mKrp0Vvzr7lt3OU09vwQwhkpOPPYv2Y/edit?usp=sharing"",""งบพรบ!EE59"")"),0)</f>
        <v>0</v>
      </c>
      <c r="N311" s="427">
        <f ca="1">IFERROR(__xludf.DUMMYFUNCTION("IMPORTRANGE(""https://docs.google.com/spreadsheets/d/1-uDff_7J0KD5mKrp0Vvzr7lt3OU09vwQwhkpOPPYv2Y/edit?usp=sharing"",""งบพรบ!EG59"")"),0)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IFERROR(__xludf.DUMMYFUNCTION("IMPORTRANGE(""https://docs.google.com/spreadsheets/d/1eHaY18a8A9IcSdp1K8H6x8fbOy06t2VsZHhMHf-1x7Y/edit?usp=sharing"",""แผน!EF59"")"),15)</f>
        <v>15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IFERROR(__xludf.DUMMYFUNCTION("IMPORTRANGE(""https://docs.google.com/spreadsheets/d/1eHaY18a8A9IcSdp1K8H6x8fbOy06t2VsZHhMHf-1x7Y/edit?usp=sharing"",""แผน!EG59"")"),3)</f>
        <v>3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IFERROR(__xludf.DUMMYFUNCTION("IMPORTRANGE(""https://docs.google.com/spreadsheets/d/1eHaY18a8A9IcSdp1K8H6x8fbOy06t2VsZHhMHf-1x7Y/edit?usp=sharing"",""แผน!EH59"")"),15)</f>
        <v>15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IFERROR(__xludf.DUMMYFUNCTION("IMPORTRANGE(""https://docs.google.com/spreadsheets/d/1eHaY18a8A9IcSdp1K8H6x8fbOy06t2VsZHhMHf-1x7Y/edit?usp=sharing"",""แผน!EI59"")"),3)</f>
        <v>3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IFERROR(__xludf.DUMMYFUNCTION("IMPORTRANGE(""https://docs.google.com/spreadsheets/d/1-uDff_7J0KD5mKrp0Vvzr7lt3OU09vwQwhkpOPPYv2Y/edit?usp=sharing"",""งบพรบ!EI59"")"),0)</f>
        <v>0</v>
      </c>
      <c r="M325" s="427">
        <f ca="1">IFERROR(__xludf.DUMMYFUNCTION("IMPORTRANGE(""https://docs.google.com/spreadsheets/d/1-uDff_7J0KD5mKrp0Vvzr7lt3OU09vwQwhkpOPPYv2Y/edit?usp=sharing"",""งบพรบ!EN59"")"),0)</f>
        <v>0</v>
      </c>
      <c r="N325" s="427">
        <f ca="1">IFERROR(__xludf.DUMMYFUNCTION("IMPORTRANGE(""https://docs.google.com/spreadsheets/d/1-uDff_7J0KD5mKrp0Vvzr7lt3OU09vwQwhkpOPPYv2Y/edit?usp=sharing"",""งบพรบ!EP59"")"),0)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IFERROR(__xludf.DUMMYFUNCTION("IMPORTRANGE(""https://docs.google.com/spreadsheets/d/1-uDff_7J0KD5mKrp0Vvzr7lt3OU09vwQwhkpOPPYv2Y/edit?usp=sharing"",""งบพรบ!EL59"")"),0)</f>
        <v>0</v>
      </c>
      <c r="M328" s="427">
        <f ca="1">IFERROR(__xludf.DUMMYFUNCTION("IMPORTRANGE(""https://docs.google.com/spreadsheets/d/1-uDff_7J0KD5mKrp0Vvzr7lt3OU09vwQwhkpOPPYv2Y/edit?usp=sharing"",""งบพรบ!EO59"")"),0)</f>
        <v>0</v>
      </c>
      <c r="N328" s="427">
        <f ca="1">IFERROR(__xludf.DUMMYFUNCTION("IMPORTRANGE(""https://docs.google.com/spreadsheets/d/1-uDff_7J0KD5mKrp0Vvzr7lt3OU09vwQwhkpOPPYv2Y/edit?usp=sharing"",""งบพรบ!EQ59"")"),0)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IFERROR(__xludf.DUMMYFUNCTION("IMPORTRANGE(""https://docs.google.com/spreadsheets/d/1eHaY18a8A9IcSdp1K8H6x8fbOy06t2VsZHhMHf-1x7Y/edit?usp=sharing"",""แผน!EJ59"")"),0)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400</v>
      </c>
      <c r="J332" s="404">
        <f ca="1">J344+J347+J348+J349+J353</f>
        <v>172</v>
      </c>
      <c r="K332" s="405">
        <f ca="1">IF(I332&gt;0,J332*100/I332,0)</f>
        <v>43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365000</v>
      </c>
      <c r="M333" s="737">
        <f ca="1">M334+M335</f>
        <v>269350</v>
      </c>
      <c r="N333" s="737">
        <f ca="1">N334+N335</f>
        <v>76000</v>
      </c>
      <c r="O333" s="737">
        <f ca="1">IF(L333&gt;0,N333*100/L333,0)</f>
        <v>20.82191780821918</v>
      </c>
      <c r="P333" s="737">
        <f ca="1">IF(M333&gt;0,N333*100/M333,0)</f>
        <v>28.216075737887508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365000</v>
      </c>
      <c r="M335" s="427">
        <f ca="1">M338+M341</f>
        <v>269350</v>
      </c>
      <c r="N335" s="427">
        <f ca="1">N338+N341</f>
        <v>76000</v>
      </c>
      <c r="O335" s="427">
        <f ca="1">IF(L335&gt;0,N335*100/L335,0)</f>
        <v>20.82191780821918</v>
      </c>
      <c r="P335" s="427">
        <f ca="1">IF(M335&gt;0,N335*100/M335,0)</f>
        <v>28.216075737887508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365000</v>
      </c>
      <c r="M336" s="427">
        <f ca="1">M337+M338</f>
        <v>269350</v>
      </c>
      <c r="N336" s="427">
        <f ca="1">N337+N338</f>
        <v>76000</v>
      </c>
      <c r="O336" s="427">
        <f ca="1">IF(L336&gt;0,N336*100/L336,0)</f>
        <v>20.82191780821918</v>
      </c>
      <c r="P336" s="427">
        <f ca="1">IF(M336&gt;0,N336*100/M336,0)</f>
        <v>28.216075737887508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IFERROR(__xludf.DUMMYFUNCTION("IMPORTRANGE(""https://docs.google.com/spreadsheets/d/1-uDff_7J0KD5mKrp0Vvzr7lt3OU09vwQwhkpOPPYv2Y/edit?usp=sharing"",""งบพรบ!ES59"")"),365000)</f>
        <v>365000</v>
      </c>
      <c r="M338" s="427">
        <f ca="1">IFERROR(__xludf.DUMMYFUNCTION("IMPORTRANGE(""https://docs.google.com/spreadsheets/d/1-uDff_7J0KD5mKrp0Vvzr7lt3OU09vwQwhkpOPPYv2Y/edit?usp=sharing"",""งบพรบ!EX59"")"),269350)</f>
        <v>269350</v>
      </c>
      <c r="N338" s="427">
        <f ca="1">IFERROR(__xludf.DUMMYFUNCTION("IMPORTRANGE(""https://docs.google.com/spreadsheets/d/1-uDff_7J0KD5mKrp0Vvzr7lt3OU09vwQwhkpOPPYv2Y/edit?usp=sharing"",""งบพรบ!EZ59"")"),76000)</f>
        <v>76000</v>
      </c>
      <c r="O338" s="427">
        <f ca="1">IF(L338&gt;0,N338*100/L338,0)</f>
        <v>20.82191780821918</v>
      </c>
      <c r="P338" s="427">
        <f ca="1">IF(M338&gt;0,N338*100/M338,0)</f>
        <v>28.216075737887508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IFERROR(__xludf.DUMMYFUNCTION("IMPORTRANGE(""https://docs.google.com/spreadsheets/d/1-uDff_7J0KD5mKrp0Vvzr7lt3OU09vwQwhkpOPPYv2Y/edit?usp=sharing"",""งบพรบ!EV59"")"),0)</f>
        <v>0</v>
      </c>
      <c r="M341" s="427">
        <f ca="1">IFERROR(__xludf.DUMMYFUNCTION("IMPORTRANGE(""https://docs.google.com/spreadsheets/d/1-uDff_7J0KD5mKrp0Vvzr7lt3OU09vwQwhkpOPPYv2Y/edit?usp=sharing"",""งบพรบ!EY59"")"),0)</f>
        <v>0</v>
      </c>
      <c r="N341" s="427">
        <f ca="1">IFERROR(__xludf.DUMMYFUNCTION("IMPORTRANGE(""https://docs.google.com/spreadsheets/d/1-uDff_7J0KD5mKrp0Vvzr7lt3OU09vwQwhkpOPPYv2Y/edit?usp=sharing"",""งบพรบ!FA59"")"),0)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66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IFERROR(__xludf.DUMMYFUNCTION("IMPORTRANGE(""https://docs.google.com/spreadsheets/d/1eHaY18a8A9IcSdp1K8H6x8fbOy06t2VsZHhMHf-1x7Y/edit?usp=sharing"",""แผน!EK59"")"),400)</f>
        <v>400</v>
      </c>
      <c r="J344" s="426">
        <f ca="1">IFERROR(__xludf.DUMMYFUNCTION("IMPORTRANGE(""https://docs.google.com/spreadsheets/d/1awYsYK3VOup2i3Pq_Yjnu8DRu_mYwSBnCR2QPthd0rU/edit?usp=sharing"",""ศูนย์ยกเว้นโฉนด!D59"")"),66)</f>
        <v>66</v>
      </c>
      <c r="K344" s="427">
        <f ca="1">IF(I344&gt;0,J344*100/I344,0)</f>
        <v>16.5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IFERROR(__xludf.DUMMYFUNCTION("IMPORTRANGE(""https://docs.google.com/spreadsheets/d/1eHaY18a8A9IcSdp1K8H6x8fbOy06t2VsZHhMHf-1x7Y/edit?usp=sharing"",""แผน!EL59"")"),1)</f>
        <v>1</v>
      </c>
      <c r="J346" s="426">
        <f ca="1">IFERROR(__xludf.DUMMYFUNCTION("IMPORTRANGE(""https://docs.google.com/spreadsheets/d/1awYsYK3VOup2i3Pq_Yjnu8DRu_mYwSBnCR2QPthd0rU/edit?usp=sharing"",""ศูนย์รวม!E59"")"),0)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IFERROR(__xludf.DUMMYFUNCTION("IMPORTRANGE(""https://docs.google.com/spreadsheets/d/1awYsYK3VOup2i3Pq_Yjnu8DRu_mYwSBnCR2QPthd0rU/edit?usp=sharing"",""ศูนย์ยกเว้นโฉนด!F59"")"),0)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IFERROR(__xludf.DUMMYFUNCTION("IMPORTRANGE(""https://docs.google.com/spreadsheets/d/1awYsYK3VOup2i3Pq_Yjnu8DRu_mYwSBnCR2QPthd0rU/edit?usp=sharing"",""ศูนย์ยกเว้นโฉนด!G59"")"),0)</f>
        <v>0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IFERROR(__xludf.DUMMYFUNCTION("IMPORTRANGE(""https://docs.google.com/spreadsheets/d/1awYsYK3VOup2i3Pq_Yjnu8DRu_mYwSBnCR2QPthd0rU/edit?usp=sharing"",""ศูนย์ยกเว้นโฉนด!H59"")"),0)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109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IFERROR(__xludf.DUMMYFUNCTION("IMPORTRANGE(""https://docs.google.com/spreadsheets/d/1awYsYK3VOup2i3Pq_Yjnu8DRu_mYwSBnCR2QPthd0rU/edit?usp=sharing"",""โฉนดM3!G59"")"),3)</f>
        <v>3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IFERROR(__xludf.DUMMYFUNCTION("IMPORTRANGE(""https://docs.google.com/spreadsheets/d/1awYsYK3VOup2i3Pq_Yjnu8DRu_mYwSBnCR2QPthd0rU/edit?usp=sharing"",""โฉนดM3!H59"")"),106)</f>
        <v>106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116090</v>
      </c>
      <c r="M356" s="737">
        <f ca="1">M357+M358</f>
        <v>90090</v>
      </c>
      <c r="N356" s="737">
        <f ca="1">N357+N358</f>
        <v>25566</v>
      </c>
      <c r="O356" s="737">
        <f ca="1">IF(L356&gt;0,N356*100/L356,0)</f>
        <v>22.022568696700837</v>
      </c>
      <c r="P356" s="737">
        <f ca="1">IF(M356&gt;0,N356*100/M356,0)</f>
        <v>28.378288378288378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116090</v>
      </c>
      <c r="M358" s="427">
        <f ca="1">M361+M364</f>
        <v>90090</v>
      </c>
      <c r="N358" s="427">
        <f ca="1">N361+N364</f>
        <v>25566</v>
      </c>
      <c r="O358" s="427">
        <f ca="1">IF(L358&gt;0,N358*100/L358,0)</f>
        <v>22.022568696700837</v>
      </c>
      <c r="P358" s="427">
        <f ca="1">IF(M358&gt;0,N358*100/M358,0)</f>
        <v>28.378288378288378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116090</v>
      </c>
      <c r="M359" s="427">
        <f ca="1">M360+M361</f>
        <v>90090</v>
      </c>
      <c r="N359" s="427">
        <f ca="1">N360+N361</f>
        <v>25566</v>
      </c>
      <c r="O359" s="427">
        <f ca="1">IF(L359&gt;0,N359*100/L359,0)</f>
        <v>22.022568696700837</v>
      </c>
      <c r="P359" s="427">
        <f ca="1">IF(M359&gt;0,N359*100/M359,0)</f>
        <v>28.378288378288378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IFERROR(__xludf.DUMMYFUNCTION("IMPORTRANGE(""https://docs.google.com/spreadsheets/d/1-uDff_7J0KD5mKrp0Vvzr7lt3OU09vwQwhkpOPPYv2Y/edit?usp=sharing"",""งบพรบ!FC59"")"),116090)</f>
        <v>116090</v>
      </c>
      <c r="M361" s="427">
        <f ca="1">IFERROR(__xludf.DUMMYFUNCTION("IMPORTRANGE(""https://docs.google.com/spreadsheets/d/1-uDff_7J0KD5mKrp0Vvzr7lt3OU09vwQwhkpOPPYv2Y/edit?usp=sharing"",""งบพรบ!FH59"")"),90090)</f>
        <v>90090</v>
      </c>
      <c r="N361" s="427">
        <f ca="1">IFERROR(__xludf.DUMMYFUNCTION("IMPORTRANGE(""https://docs.google.com/spreadsheets/d/1-uDff_7J0KD5mKrp0Vvzr7lt3OU09vwQwhkpOPPYv2Y/edit?usp=sharing"",""งบพรบ!FJ59"")"),25566)</f>
        <v>25566</v>
      </c>
      <c r="O361" s="427">
        <f ca="1">IF(L361&gt;0,N361*100/L361,0)</f>
        <v>22.022568696700837</v>
      </c>
      <c r="P361" s="427">
        <f ca="1">IF(M361&gt;0,N361*100/M361,0)</f>
        <v>28.378288378288378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IFERROR(__xludf.DUMMYFUNCTION("IMPORTRANGE(""https://docs.google.com/spreadsheets/d/1-uDff_7J0KD5mKrp0Vvzr7lt3OU09vwQwhkpOPPYv2Y/edit?usp=sharing"",""งบพรบ!FF59"")"),0)</f>
        <v>0</v>
      </c>
      <c r="M364" s="427">
        <f ca="1">IFERROR(__xludf.DUMMYFUNCTION("IMPORTRANGE(""https://docs.google.com/spreadsheets/d/1-uDff_7J0KD5mKrp0Vvzr7lt3OU09vwQwhkpOPPYv2Y/edit?usp=sharing"",""งบพรบ!FI59"")"),0)</f>
        <v>0</v>
      </c>
      <c r="N364" s="427">
        <f ca="1">IFERROR(__xludf.DUMMYFUNCTION("IMPORTRANGE(""https://docs.google.com/spreadsheets/d/1-uDff_7J0KD5mKrp0Vvzr7lt3OU09vwQwhkpOPPYv2Y/edit?usp=sharing"",""งบพรบ!FK59"")"),0)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9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IFERROR(__xludf.DUMMYFUNCTION("IMPORTRANGE(""https://docs.google.com/spreadsheets/d/1tdoBKaGub7dwA3U6UFTqxio9LNnvDCQjHKmttSEBsFQ/edit?usp=sharing"",""จัดที่ดิน!AB59"")"),0)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IFERROR(__xludf.DUMMYFUNCTION("IMPORTRANGE(""https://docs.google.com/spreadsheets/d/1eHaY18a8A9IcSdp1K8H6x8fbOy06t2VsZHhMHf-1x7Y/edit?usp=sharing"",""แผน!EW59"")"),0)</f>
        <v>0</v>
      </c>
      <c r="J368" s="726">
        <f ca="1">IFERROR(__xludf.DUMMYFUNCTION("IMPORTRANGE(""https://docs.google.com/spreadsheets/d/1tdoBKaGub7dwA3U6UFTqxio9LNnvDCQjHKmttSEBsFQ/edit?usp=sharing"",""จัดที่ดิน!AC59"")"),0)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IFERROR(__xludf.DUMMYFUNCTION("IMPORTRANGE(""https://docs.google.com/spreadsheets/d/1eHaY18a8A9IcSdp1K8H6x8fbOy06t2VsZHhMHf-1x7Y/edit?usp=sharing"",""แผน!EX59"")"),0)</f>
        <v>0</v>
      </c>
      <c r="J369" s="426">
        <f ca="1">IFERROR(__xludf.DUMMYFUNCTION("IMPORTRANGE(""https://docs.google.com/spreadsheets/d/1tdoBKaGub7dwA3U6UFTqxio9LNnvDCQjHKmttSEBsFQ/edit?usp=sharing"",""จัดที่ดิน!AD59"")"),0)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IFERROR(__xludf.DUMMYFUNCTION("IMPORTRANGE(""https://docs.google.com/spreadsheets/d/1tdoBKaGub7dwA3U6UFTqxio9LNnvDCQjHKmttSEBsFQ/edit?usp=sharing"",""จัดที่ดิน!AE59"")"),0)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IFERROR(__xludf.DUMMYFUNCTION("IMPORTRANGE(""https://docs.google.com/spreadsheets/d/1eHaY18a8A9IcSdp1K8H6x8fbOy06t2VsZHhMHf-1x7Y/edit?usp=sharing"",""แผน!EY59"")"),9)</f>
        <v>9</v>
      </c>
      <c r="J371" s="426">
        <f ca="1">IFERROR(__xludf.DUMMYFUNCTION("IMPORTRANGE(""https://docs.google.com/spreadsheets/d/1tdoBKaGub7dwA3U6UFTqxio9LNnvDCQjHKmttSEBsFQ/edit?usp=sharing"",""จัดที่ดิน!AF59"")"),0)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IFERROR(__xludf.DUMMYFUNCTION("IMPORTRANGE(""https://docs.google.com/spreadsheets/d/1tdoBKaGub7dwA3U6UFTqxio9LNnvDCQjHKmttSEBsFQ/edit?usp=sharing"",""จัดที่ดิน!AG59"")"),0)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IFERROR(__xludf.DUMMYFUNCTION("IMPORTRANGE(""https://docs.google.com/spreadsheets/d/1-uDff_7J0KD5mKrp0Vvzr7lt3OU09vwQwhkpOPPYv2Y/edit?usp=sharing"",""งบพรบ!FM59"")"),0)</f>
        <v>0</v>
      </c>
      <c r="M382" s="522">
        <f ca="1">IFERROR(__xludf.DUMMYFUNCTION("IMPORTRANGE(""https://docs.google.com/spreadsheets/d/1-uDff_7J0KD5mKrp0Vvzr7lt3OU09vwQwhkpOPPYv2Y/edit?usp=sharing"",""งบพรบ!FR59"")"),0)</f>
        <v>0</v>
      </c>
      <c r="N382" s="522">
        <f ca="1">IFERROR(__xludf.DUMMYFUNCTION("IMPORTRANGE(""https://docs.google.com/spreadsheets/d/1-uDff_7J0KD5mKrp0Vvzr7lt3OU09vwQwhkpOPPYv2Y/edit?usp=sharing"",""งบพรบ!FT59"")"),0)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IFERROR(__xludf.DUMMYFUNCTION("IMPORTRANGE(""https://docs.google.com/spreadsheets/d/1-uDff_7J0KD5mKrp0Vvzr7lt3OU09vwQwhkpOPPYv2Y/edit?usp=sharing"",""งบพรบ!FP59"")"),0)</f>
        <v>0</v>
      </c>
      <c r="M385" s="522">
        <f ca="1">IFERROR(__xludf.DUMMYFUNCTION("IMPORTRANGE(""https://docs.google.com/spreadsheets/d/1-uDff_7J0KD5mKrp0Vvzr7lt3OU09vwQwhkpOPPYv2Y/edit?usp=sharing"",""งบพรบ!FS59"")"),0)</f>
        <v>0</v>
      </c>
      <c r="N385" s="522">
        <f ca="1">IFERROR(__xludf.DUMMYFUNCTION("IMPORTRANGE(""https://docs.google.com/spreadsheets/d/1-uDff_7J0KD5mKrp0Vvzr7lt3OU09vwQwhkpOPPYv2Y/edit?usp=sharing"",""งบพรบ!FU59"")"),0)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BB3C-8E8C-43BB-9ECF-7FFF4F3CE2BA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171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1233495</v>
      </c>
      <c r="M18" s="865">
        <f ca="1">M19+M20</f>
        <v>992845</v>
      </c>
      <c r="N18" s="865">
        <f ca="1">N19+N20</f>
        <v>343059.14</v>
      </c>
      <c r="O18" s="865">
        <f ca="1">IF(L18&gt;0,N18*100/L18,0)</f>
        <v>27.811960324119678</v>
      </c>
      <c r="P18" s="865">
        <f ca="1">IF(M18&gt;0,N18*100/M18,0)</f>
        <v>34.553141729071505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1233495</v>
      </c>
      <c r="M20" s="972">
        <f ca="1">M23+M26</f>
        <v>992845</v>
      </c>
      <c r="N20" s="972">
        <f ca="1">N23+N26</f>
        <v>343059.14</v>
      </c>
      <c r="O20" s="972">
        <f ca="1">IF(L20&gt;0,N20*100/L20,0)</f>
        <v>27.811960324119678</v>
      </c>
      <c r="P20" s="972">
        <f ca="1">IF(M20&gt;0,N20*100/M20,0)</f>
        <v>34.553141729071505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1233495</v>
      </c>
      <c r="M21" s="427">
        <f ca="1">M22+M23</f>
        <v>992845</v>
      </c>
      <c r="N21" s="427">
        <f ca="1">N22+N23</f>
        <v>343059.14</v>
      </c>
      <c r="O21" s="427">
        <f ca="1">IF(L21&gt;0,N21*100/L21,0)</f>
        <v>27.811960324119678</v>
      </c>
      <c r="P21" s="427">
        <f ca="1">IF(M21&gt;0,N21*100/M21,0)</f>
        <v>34.553141729071505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1233495</v>
      </c>
      <c r="M23" s="427">
        <f ca="1">M49+M64+M77+M99+M130+M144+M162+M191+M178+M271+M287+M308+M325+M338+M361+M382</f>
        <v>992845</v>
      </c>
      <c r="N23" s="427">
        <f ca="1">N49+N64+N77+N99+N130+N144+N162+N191+N178+N271+N287+N308+N325+N338+N361+N382</f>
        <v>343059.14</v>
      </c>
      <c r="O23" s="427">
        <f ca="1">IF(L23&gt;0,N23*100/L23,0)</f>
        <v>27.811960324119678</v>
      </c>
      <c r="P23" s="427">
        <f ca="1">IF(M23&gt;0,N23*100/M23,0)</f>
        <v>34.553141729071505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1233495</v>
      </c>
      <c r="M40" s="964">
        <f ca="1">M44+M59+M72+M94+M125+M139+M157+M173+M186+M266+M282+M303+M320+M333+M356</f>
        <v>992845</v>
      </c>
      <c r="N40" s="964">
        <f ca="1">N44+N59+N72+N94+N125+N139+N157+N173+N186+N266+N282+N303+N320+N333+N356</f>
        <v>343059.14</v>
      </c>
      <c r="O40" s="964">
        <f ca="1">IF(L40&gt;0,N40*100/L40,0)</f>
        <v>27.811960324119678</v>
      </c>
      <c r="P40" s="964">
        <f ca="1">IF(M40&gt;0,N40*100/M40,0)</f>
        <v>34.553141729071505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203250</v>
      </c>
      <c r="M44" s="949">
        <f ca="1">M45+M46</f>
        <v>214500</v>
      </c>
      <c r="N44" s="949">
        <f ca="1">N45+N46</f>
        <v>82050</v>
      </c>
      <c r="O44" s="949">
        <f ca="1">IF(L44&gt;0,N44*100/L44,0)</f>
        <v>40.369003690036898</v>
      </c>
      <c r="P44" s="949">
        <f ca="1">IF(M44&gt;0,N44*100/M44,0)</f>
        <v>38.251748251748253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203250</v>
      </c>
      <c r="M46" s="941">
        <f ca="1">M49+M52</f>
        <v>214500</v>
      </c>
      <c r="N46" s="941">
        <f ca="1">N49+N52</f>
        <v>82050</v>
      </c>
      <c r="O46" s="941">
        <f ca="1">IF(L46&gt;0,N46*100/L46,0)</f>
        <v>40.369003690036898</v>
      </c>
      <c r="P46" s="941">
        <f ca="1">IF(M46&gt;0,N46*100/M46,0)</f>
        <v>38.251748251748253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203250</v>
      </c>
      <c r="M47" s="427">
        <f ca="1">M48+M49</f>
        <v>214500</v>
      </c>
      <c r="N47" s="427">
        <f ca="1">N48+N49</f>
        <v>82050</v>
      </c>
      <c r="O47" s="427">
        <f ca="1">IF(L47&gt;0,N47*100/L47,0)</f>
        <v>40.369003690036898</v>
      </c>
      <c r="P47" s="427">
        <f ca="1">IF(M47&gt;0,N47*100/M47,0)</f>
        <v>38.251748251748253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IFERROR(__xludf.DUMMYFUNCTION("IMPORTRANGE(""https://docs.google.com/spreadsheets/d/1-uDff_7J0KD5mKrp0Vvzr7lt3OU09vwQwhkpOPPYv2Y/edit?usp=sharing"",""งบพรบ!P60"")"),203250)</f>
        <v>203250</v>
      </c>
      <c r="M49" s="427">
        <f ca="1">IFERROR(__xludf.DUMMYFUNCTION("IMPORTRANGE(""https://docs.google.com/spreadsheets/d/1-uDff_7J0KD5mKrp0Vvzr7lt3OU09vwQwhkpOPPYv2Y/edit?usp=sharing"",""งบพรบ!V60"")"),214500)</f>
        <v>214500</v>
      </c>
      <c r="N49" s="427">
        <f ca="1">IFERROR(__xludf.DUMMYFUNCTION("IMPORTRANGE(""https://docs.google.com/spreadsheets/d/1-uDff_7J0KD5mKrp0Vvzr7lt3OU09vwQwhkpOPPYv2Y/edit?usp=sharing"",""งบพรบ!Y60"")"),82050)</f>
        <v>82050</v>
      </c>
      <c r="O49" s="427">
        <f ca="1">IF(L49&gt;0,N49*100/L49,0)</f>
        <v>40.369003690036898</v>
      </c>
      <c r="P49" s="427">
        <f ca="1">IF(M49&gt;0,N49*100/M49,0)</f>
        <v>38.251748251748253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IFERROR(__xludf.DUMMYFUNCTION("IMPORTRANGE(""https://docs.google.com/spreadsheets/d/1-uDff_7J0KD5mKrp0Vvzr7lt3OU09vwQwhkpOPPYv2Y/edit?usp=sharing"",""งบพรบ!S60"")"),0)</f>
        <v>0</v>
      </c>
      <c r="M52" s="427">
        <f ca="1">IFERROR(__xludf.DUMMYFUNCTION("IMPORTRANGE(""https://docs.google.com/spreadsheets/d/1-uDff_7J0KD5mKrp0Vvzr7lt3OU09vwQwhkpOPPYv2Y/edit?usp=sharing"",""งบพรบ!W60"")"),0)</f>
        <v>0</v>
      </c>
      <c r="N52" s="427">
        <f ca="1">IFERROR(__xludf.DUMMYFUNCTION("IMPORTRANGE(""https://docs.google.com/spreadsheets/d/1-uDff_7J0KD5mKrp0Vvzr7lt3OU09vwQwhkpOPPYv2Y/edit?usp=sharing"",""งบพรบ!Z60"")"),0)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385800</v>
      </c>
      <c r="M59" s="921">
        <f ca="1">M60+M61</f>
        <v>291350</v>
      </c>
      <c r="N59" s="921">
        <f ca="1">N60+N61</f>
        <v>174614.14</v>
      </c>
      <c r="O59" s="921">
        <f ca="1">IF(L59&gt;0,N59*100/L59,0)</f>
        <v>45.260274753758424</v>
      </c>
      <c r="P59" s="921">
        <f ca="1">IF(M59&gt;0,N59*100/M59,0)</f>
        <v>59.932775012871119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385800</v>
      </c>
      <c r="M61" s="913">
        <f ca="1">M64+M67</f>
        <v>291350</v>
      </c>
      <c r="N61" s="913">
        <f ca="1">N64+N67</f>
        <v>174614.14</v>
      </c>
      <c r="O61" s="913">
        <f ca="1">IF(L61&gt;0,N61*100/L61,0)</f>
        <v>45.260274753758424</v>
      </c>
      <c r="P61" s="913">
        <f ca="1">IF(M61&gt;0,N61*100/M61,0)</f>
        <v>59.932775012871119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385800</v>
      </c>
      <c r="M62" s="427">
        <f ca="1">M63+M64</f>
        <v>291350</v>
      </c>
      <c r="N62" s="427">
        <f ca="1">N63+N64</f>
        <v>174614.14</v>
      </c>
      <c r="O62" s="427">
        <f ca="1">IF(L62&gt;0,N62*100/L62,0)</f>
        <v>45.260274753758424</v>
      </c>
      <c r="P62" s="427">
        <f ca="1">IF(M62&gt;0,N62*100/M62,0)</f>
        <v>59.932775012871119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IFERROR(__xludf.DUMMYFUNCTION("IMPORTRANGE(""https://docs.google.com/spreadsheets/d/1-uDff_7J0KD5mKrp0Vvzr7lt3OU09vwQwhkpOPPYv2Y/edit?usp=sharing"",""งบพรบ!AC60"")"),385800)</f>
        <v>385800</v>
      </c>
      <c r="M64" s="427">
        <f ca="1">IFERROR(__xludf.DUMMYFUNCTION("IMPORTRANGE(""https://docs.google.com/spreadsheets/d/1-uDff_7J0KD5mKrp0Vvzr7lt3OU09vwQwhkpOPPYv2Y/edit?usp=sharing"",""งบพรบ!AH60"")"),291350)</f>
        <v>291350</v>
      </c>
      <c r="N64" s="427">
        <f ca="1">IFERROR(__xludf.DUMMYFUNCTION("IMPORTRANGE(""https://docs.google.com/spreadsheets/d/1-uDff_7J0KD5mKrp0Vvzr7lt3OU09vwQwhkpOPPYv2Y/edit?usp=sharing"",""งบพรบ!AJ60"")"),174614.14)</f>
        <v>174614.14</v>
      </c>
      <c r="O64" s="427">
        <f ca="1">IF(L64&gt;0,N64*100/L64,0)</f>
        <v>45.260274753758424</v>
      </c>
      <c r="P64" s="427">
        <f ca="1">IF(M64&gt;0,N64*100/M64,0)</f>
        <v>59.932775012871119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IFERROR(__xludf.DUMMYFUNCTION("IMPORTRANGE(""https://docs.google.com/spreadsheets/d/1-uDff_7J0KD5mKrp0Vvzr7lt3OU09vwQwhkpOPPYv2Y/edit?usp=sharing"",""งบพรบ!AF60"")"),0)</f>
        <v>0</v>
      </c>
      <c r="M67" s="644">
        <f ca="1">IFERROR(__xludf.DUMMYFUNCTION("IMPORTRANGE(""https://docs.google.com/spreadsheets/d/1-uDff_7J0KD5mKrp0Vvzr7lt3OU09vwQwhkpOPPYv2Y/edit?usp=sharing"",""งบพรบ!AI60"")"),0)</f>
        <v>0</v>
      </c>
      <c r="N67" s="644">
        <f ca="1">IFERROR(__xludf.DUMMYFUNCTION("IMPORTRANGE(""https://docs.google.com/spreadsheets/d/1-uDff_7J0KD5mKrp0Vvzr7lt3OU09vwQwhkpOPPYv2Y/edit?usp=sharing"",""งบพรบ!AK60"")"),0)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IFERROR(__xludf.DUMMYFUNCTION("IMPORTRANGE(""https://docs.google.com/spreadsheets/d/1-uDff_7J0KD5mKrp0Vvzr7lt3OU09vwQwhkpOPPYv2Y/edit?usp=sharing"",""งบพรบ!AM60"")"),0)</f>
        <v>0</v>
      </c>
      <c r="M77" s="427">
        <f ca="1">IFERROR(__xludf.DUMMYFUNCTION("IMPORTRANGE(""https://docs.google.com/spreadsheets/d/1-uDff_7J0KD5mKrp0Vvzr7lt3OU09vwQwhkpOPPYv2Y/edit?usp=sharing"",""งบพรบ!AR60"")"),0)</f>
        <v>0</v>
      </c>
      <c r="N77" s="427">
        <f ca="1">IFERROR(__xludf.DUMMYFUNCTION("IMPORTRANGE(""https://docs.google.com/spreadsheets/d/1-uDff_7J0KD5mKrp0Vvzr7lt3OU09vwQwhkpOPPYv2Y/edit?usp=sharing"",""งบพรบ!AT60"")"),0)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IFERROR(__xludf.DUMMYFUNCTION("IMPORTRANGE(""https://docs.google.com/spreadsheets/d/1-uDff_7J0KD5mKrp0Vvzr7lt3OU09vwQwhkpOPPYv2Y/edit?usp=sharing"",""งบพรบ!AP60"")"),0)</f>
        <v>0</v>
      </c>
      <c r="M80" s="427">
        <f ca="1">IFERROR(__xludf.DUMMYFUNCTION("IMPORTRANGE(""https://docs.google.com/spreadsheets/d/1-uDff_7J0KD5mKrp0Vvzr7lt3OU09vwQwhkpOPPYv2Y/edit?usp=sharing"",""งบพรบ!AS60"")"),0)</f>
        <v>0</v>
      </c>
      <c r="N80" s="427">
        <f ca="1">IFERROR(__xludf.DUMMYFUNCTION("IMPORTRANGE(""https://docs.google.com/spreadsheets/d/1-uDff_7J0KD5mKrp0Vvzr7lt3OU09vwQwhkpOPPYv2Y/edit?usp=sharing"",""งบพรบ!AU60"")"),0)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IFERROR(__xludf.DUMMYFUNCTION("IMPORTRANGE(""https://docs.google.com/spreadsheets/d/1eHaY18a8A9IcSdp1K8H6x8fbOy06t2VsZHhMHf-1x7Y/edit?usp=sharing"",""แผน!H60"")"),0)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IFERROR(__xludf.DUMMYFUNCTION("IMPORTRANGE(""https://docs.google.com/spreadsheets/d/1eHaY18a8A9IcSdp1K8H6x8fbOy06t2VsZHhMHf-1x7Y/edit?usp=sharing"",""แผน!I60"")"),0)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IFERROR(__xludf.DUMMYFUNCTION("IMPORTRANGE(""https://docs.google.com/spreadsheets/d/1eHaY18a8A9IcSdp1K8H6x8fbOy06t2VsZHhMHf-1x7Y/edit?usp=sharing"",""แผน!F60"")"),0)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IFERROR(__xludf.DUMMYFUNCTION("IMPORTRANGE(""https://docs.google.com/spreadsheets/d/1eHaY18a8A9IcSdp1K8H6x8fbOy06t2VsZHhMHf-1x7Y/edit?usp=sharing"",""แผน!G60"")"),0)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IFERROR(__xludf.DUMMYFUNCTION("IMPORTRANGE(""https://docs.google.com/spreadsheets/d/1eHaY18a8A9IcSdp1K8H6x8fbOy06t2VsZHhMHf-1x7Y/edit?usp=sharing"",""แผน!D60"")"),0)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IFERROR(__xludf.DUMMYFUNCTION("IMPORTRANGE(""https://docs.google.com/spreadsheets/d/1eHaY18a8A9IcSdp1K8H6x8fbOy06t2VsZHhMHf-1x7Y/edit?usp=sharing"",""แผน!E60"")"),0)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IFERROR(__xludf.DUMMYFUNCTION("IMPORTRANGE(""https://docs.google.com/spreadsheets/d/1eHaY18a8A9IcSdp1K8H6x8fbOy06t2VsZHhMHf-1x7Y/edit?usp=sharing"",""แผน!J60"")"),0)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IFERROR(__xludf.DUMMYFUNCTION("IMPORTRANGE(""https://docs.google.com/spreadsheets/d/1-uDff_7J0KD5mKrp0Vvzr7lt3OU09vwQwhkpOPPYv2Y/edit?usp=sharing"",""งบพรบ!AW60"")"),0)</f>
        <v>0</v>
      </c>
      <c r="M99" s="427">
        <f ca="1">IFERROR(__xludf.DUMMYFUNCTION("IMPORTRANGE(""https://docs.google.com/spreadsheets/d/1-uDff_7J0KD5mKrp0Vvzr7lt3OU09vwQwhkpOPPYv2Y/edit?usp=sharing"",""งบพรบ!BB60"")"),0)</f>
        <v>0</v>
      </c>
      <c r="N99" s="427">
        <f ca="1">IFERROR(__xludf.DUMMYFUNCTION("IMPORTRANGE(""https://docs.google.com/spreadsheets/d/1-uDff_7J0KD5mKrp0Vvzr7lt3OU09vwQwhkpOPPYv2Y/edit?usp=sharing"",""งบพรบ!BD60"")"),0)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IFERROR(__xludf.DUMMYFUNCTION("IMPORTRANGE(""https://docs.google.com/spreadsheets/d/1-uDff_7J0KD5mKrp0Vvzr7lt3OU09vwQwhkpOPPYv2Y/edit?usp=sharing"",""งบพรบ!AZ60"")"),0)</f>
        <v>0</v>
      </c>
      <c r="M102" s="427">
        <f ca="1">IFERROR(__xludf.DUMMYFUNCTION("IMPORTRANGE(""https://docs.google.com/spreadsheets/d/1-uDff_7J0KD5mKrp0Vvzr7lt3OU09vwQwhkpOPPYv2Y/edit?usp=sharing"",""งบพรบ!BC60"")"),0)</f>
        <v>0</v>
      </c>
      <c r="N102" s="427">
        <f ca="1">IFERROR(__xludf.DUMMYFUNCTION("IMPORTRANGE(""https://docs.google.com/spreadsheets/d/1-uDff_7J0KD5mKrp0Vvzr7lt3OU09vwQwhkpOPPYv2Y/edit?usp=sharing"",""งบพรบ!BE60"")"),0)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IFERROR(__xludf.DUMMYFUNCTION("IMPORTRANGE(""https://docs.google.com/spreadsheets/d/1eHaY18a8A9IcSdp1K8H6x8fbOy06t2VsZHhMHf-1x7Y/edit?usp=sharing"",""แผน!N60"")"),0)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IFERROR(__xludf.DUMMYFUNCTION("IMPORTRANGE(""https://docs.google.com/spreadsheets/d/1eHaY18a8A9IcSdp1K8H6x8fbOy06t2VsZHhMHf-1x7Y/edit?usp=sharing"",""แผน!O60"")"),0)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IFERROR(__xludf.DUMMYFUNCTION("IMPORTRANGE(""https://docs.google.com/spreadsheets/d/1eHaY18a8A9IcSdp1K8H6x8fbOy06t2VsZHhMHf-1x7Y/edit?usp=sharing"",""แผน!R60"")"),0)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IFERROR(__xludf.DUMMYFUNCTION("IMPORTRANGE(""https://docs.google.com/spreadsheets/d/1-uDff_7J0KD5mKrp0Vvzr7lt3OU09vwQwhkpOPPYv2Y/edit?usp=sharing"",""งบพรบ!BG60"")"),0)</f>
        <v>0</v>
      </c>
      <c r="M130" s="886">
        <f ca="1">IFERROR(__xludf.DUMMYFUNCTION("IMPORTRANGE(""https://docs.google.com/spreadsheets/d/1-uDff_7J0KD5mKrp0Vvzr7lt3OU09vwQwhkpOPPYv2Y/edit?usp=sharing"",""งบพรบ!BL60"")"),0)</f>
        <v>0</v>
      </c>
      <c r="N130" s="886">
        <f ca="1">IFERROR(__xludf.DUMMYFUNCTION("IMPORTRANGE(""https://docs.google.com/spreadsheets/d/1-uDff_7J0KD5mKrp0Vvzr7lt3OU09vwQwhkpOPPYv2Y/edit?usp=sharing"",""งบพรบ!BN60"")"),0)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IFERROR(__xludf.DUMMYFUNCTION("IMPORTRANGE(""https://docs.google.com/spreadsheets/d/1-uDff_7J0KD5mKrp0Vvzr7lt3OU09vwQwhkpOPPYv2Y/edit?usp=sharing"",""งบพรบ!BJ60"")"),0)</f>
        <v>0</v>
      </c>
      <c r="M133" s="886">
        <f ca="1">IFERROR(__xludf.DUMMYFUNCTION("IMPORTRANGE(""https://docs.google.com/spreadsheets/d/1-uDff_7J0KD5mKrp0Vvzr7lt3OU09vwQwhkpOPPYv2Y/edit?usp=sharing"",""งบพรบ!BM60"")"),0)</f>
        <v>0</v>
      </c>
      <c r="N133" s="886">
        <f ca="1">IFERROR(__xludf.DUMMYFUNCTION("IMPORTRANGE(""https://docs.google.com/spreadsheets/d/1-uDff_7J0KD5mKrp0Vvzr7lt3OU09vwQwhkpOPPYv2Y/edit?usp=sharing"",""งบพรบ!BO60"")"),0)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IFERROR(__xludf.DUMMYFUNCTION("IMPORTRANGE(""https://docs.google.com/spreadsheets/d/1-uDff_7J0KD5mKrp0Vvzr7lt3OU09vwQwhkpOPPYv2Y/edit?usp=sharing"",""งบพรบ!BQ60"")"),0)</f>
        <v>0</v>
      </c>
      <c r="M144" s="427">
        <f ca="1">IFERROR(__xludf.DUMMYFUNCTION("IMPORTRANGE(""https://docs.google.com/spreadsheets/d/1-uDff_7J0KD5mKrp0Vvzr7lt3OU09vwQwhkpOPPYv2Y/edit?usp=sharing"",""งบพรบ!BV60"")"),0)</f>
        <v>0</v>
      </c>
      <c r="N144" s="427">
        <f ca="1">IFERROR(__xludf.DUMMYFUNCTION("IMPORTRANGE(""https://docs.google.com/spreadsheets/d/1-uDff_7J0KD5mKrp0Vvzr7lt3OU09vwQwhkpOPPYv2Y/edit?usp=sharing"",""งบพรบ!BX60"")"),0)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IFERROR(__xludf.DUMMYFUNCTION("IMPORTRANGE(""https://docs.google.com/spreadsheets/d/1-uDff_7J0KD5mKrp0Vvzr7lt3OU09vwQwhkpOPPYv2Y/edit?usp=sharing"",""งบพรบ!BT60"")"),0)</f>
        <v>0</v>
      </c>
      <c r="M147" s="427">
        <f ca="1">IFERROR(__xludf.DUMMYFUNCTION("IMPORTRANGE(""https://docs.google.com/spreadsheets/d/1-uDff_7J0KD5mKrp0Vvzr7lt3OU09vwQwhkpOPPYv2Y/edit?usp=sharing"",""งบพรบ!BW60"")"),0)</f>
        <v>0</v>
      </c>
      <c r="N147" s="427">
        <f ca="1">IFERROR(__xludf.DUMMYFUNCTION("IMPORTRANGE(""https://docs.google.com/spreadsheets/d/1-uDff_7J0KD5mKrp0Vvzr7lt3OU09vwQwhkpOPPYv2Y/edit?usp=sharing"",""งบพรบ!BY60"")"),0)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IFERROR(__xludf.DUMMYFUNCTION("IMPORTRANGE(""https://docs.google.com/spreadsheets/d/1eHaY18a8A9IcSdp1K8H6x8fbOy06t2VsZHhMHf-1x7Y/edit?usp=sharing"",""แผน!U60"")"),0)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IFERROR(__xludf.DUMMYFUNCTION("IMPORTRANGE(""https://docs.google.com/spreadsheets/d/1eHaY18a8A9IcSdp1K8H6x8fbOy06t2VsZHhMHf-1x7Y/edit?usp=sharing"",""แผน!V60"")"),0)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IFERROR(__xludf.DUMMYFUNCTION("IMPORTRANGE(""https://docs.google.com/spreadsheets/d/1eHaY18a8A9IcSdp1K8H6x8fbOy06t2VsZHhMHf-1x7Y/edit?usp=sharing"",""แผน!W60"")"),0)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IFERROR(__xludf.DUMMYFUNCTION("IMPORTRANGE(""https://docs.google.com/spreadsheets/d/1eHaY18a8A9IcSdp1K8H6x8fbOy06t2VsZHhMHf-1x7Y/edit?usp=sharing"",""แผน!X60"")"),0)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IFERROR(__xludf.DUMMYFUNCTION("IMPORTRANGE(""https://docs.google.com/spreadsheets/d/1eHaY18a8A9IcSdp1K8H6x8fbOy06t2VsZHhMHf-1x7Y/edit?usp=sharing"",""แผน!Y60"")"),0)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IFERROR(__xludf.DUMMYFUNCTION("IMPORTRANGE(""https://docs.google.com/spreadsheets/d/1-uDff_7J0KD5mKrp0Vvzr7lt3OU09vwQwhkpOPPYv2Y/edit?usp=sharing"",""งบพรบ!CA60"")"),0)</f>
        <v>0</v>
      </c>
      <c r="M162" s="427">
        <f ca="1">IFERROR(__xludf.DUMMYFUNCTION("IMPORTRANGE(""https://docs.google.com/spreadsheets/d/1-uDff_7J0KD5mKrp0Vvzr7lt3OU09vwQwhkpOPPYv2Y/edit?usp=sharing"",""งบพรบ!CF60"")"),0)</f>
        <v>0</v>
      </c>
      <c r="N162" s="427">
        <f ca="1">IFERROR(__xludf.DUMMYFUNCTION("IMPORTRANGE(""https://docs.google.com/spreadsheets/d/1-uDff_7J0KD5mKrp0Vvzr7lt3OU09vwQwhkpOPPYv2Y/edit?usp=sharing"",""งบพรบ!CH60"")"),0)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IFERROR(__xludf.DUMMYFUNCTION("IMPORTRANGE(""https://docs.google.com/spreadsheets/d/1-uDff_7J0KD5mKrp0Vvzr7lt3OU09vwQwhkpOPPYv2Y/edit?usp=sharing"",""งบพรบ!CD60"")"),0)</f>
        <v>0</v>
      </c>
      <c r="M165" s="427">
        <f ca="1">IFERROR(__xludf.DUMMYFUNCTION("IMPORTRANGE(""https://docs.google.com/spreadsheets/d/1-uDff_7J0KD5mKrp0Vvzr7lt3OU09vwQwhkpOPPYv2Y/edit?usp=sharing"",""งบพรบ!CG60"")"),0)</f>
        <v>0</v>
      </c>
      <c r="N165" s="427">
        <f ca="1">IFERROR(__xludf.DUMMYFUNCTION("IMPORTRANGE(""https://docs.google.com/spreadsheets/d/1-uDff_7J0KD5mKrp0Vvzr7lt3OU09vwQwhkpOPPYv2Y/edit?usp=sharing"",""งบพรบ!CI60"")"),0)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IFERROR(__xludf.DUMMYFUNCTION("IMPORTRANGE(""https://docs.google.com/spreadsheets/d/1eHaY18a8A9IcSdp1K8H6x8fbOy06t2VsZHhMHf-1x7Y/edit?usp=sharing"",""แผน!Z60"")"),0)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IFERROR(__xludf.DUMMYFUNCTION("IMPORTRANGE(""https://docs.google.com/spreadsheets/d/1eHaY18a8A9IcSdp1K8H6x8fbOy06t2VsZHhMHf-1x7Y/edit?usp=sharing"",""แผน!Z60"")"),0)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IFERROR(__xludf.DUMMYFUNCTION("IMPORTRANGE(""https://docs.google.com/spreadsheets/d/1eHaY18a8A9IcSdp1K8H6x8fbOy06t2VsZHhMHf-1x7Y/edit?usp=sharing"",""แผน!Z60"")"),0)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IFERROR(__xludf.DUMMYFUNCTION("IMPORTRANGE(""https://docs.google.com/spreadsheets/d/1-uDff_7J0KD5mKrp0Vvzr7lt3OU09vwQwhkpOPPYv2Y/edit?usp=sharing"",""งบพรบ!CK60"")"),19590)</f>
        <v>19590</v>
      </c>
      <c r="M178" s="427">
        <f ca="1">IFERROR(__xludf.DUMMYFUNCTION("IMPORTRANGE(""https://docs.google.com/spreadsheets/d/1-uDff_7J0KD5mKrp0Vvzr7lt3OU09vwQwhkpOPPYv2Y/edit?usp=sharing"",""งบพรบ!CP60"")"),19590)</f>
        <v>19590</v>
      </c>
      <c r="N178" s="427">
        <f ca="1">IFERROR(__xludf.DUMMYFUNCTION("IMPORTRANGE(""https://docs.google.com/spreadsheets/d/1-uDff_7J0KD5mKrp0Vvzr7lt3OU09vwQwhkpOPPYv2Y/edit?usp=sharing"",""งบพรบ!CR60"")"),0)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IFERROR(__xludf.DUMMYFUNCTION("IMPORTRANGE(""https://docs.google.com/spreadsheets/d/1-uDff_7J0KD5mKrp0Vvzr7lt3OU09vwQwhkpOPPYv2Y/edit?usp=sharing"",""งบพรบ!CN60"")"),0)</f>
        <v>0</v>
      </c>
      <c r="M181" s="427">
        <f ca="1">IFERROR(__xludf.DUMMYFUNCTION("IMPORTRANGE(""https://docs.google.com/spreadsheets/d/1-uDff_7J0KD5mKrp0Vvzr7lt3OU09vwQwhkpOPPYv2Y/edit?usp=sharing"",""งบพรบ!CQ60"")"),0)</f>
        <v>0</v>
      </c>
      <c r="N181" s="427">
        <f ca="1">IFERROR(__xludf.DUMMYFUNCTION("IMPORTRANGE(""https://docs.google.com/spreadsheets/d/1-uDff_7J0KD5mKrp0Vvzr7lt3OU09vwQwhkpOPPYv2Y/edit?usp=sharing"",""งบพรบ!CS60"")"),0)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IFERROR(__xludf.DUMMYFUNCTION("IMPORTRANGE(""https://docs.google.com/spreadsheets/d/1eHaY18a8A9IcSdp1K8H6x8fbOy06t2VsZHhMHf-1x7Y/edit?usp=sharing"",""แผน!AA60"")"),7)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15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226700</v>
      </c>
      <c r="M186" s="737">
        <f ca="1">M187+M188</f>
        <v>172500</v>
      </c>
      <c r="N186" s="737">
        <f ca="1">N187+N188</f>
        <v>8230</v>
      </c>
      <c r="O186" s="737">
        <f ca="1">IF(L186&gt;0,N186*100/L186,0)</f>
        <v>3.6303484781649757</v>
      </c>
      <c r="P186" s="737">
        <f ca="1">IF(M186&gt;0,N186*100/M186,0)</f>
        <v>4.7710144927536229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226700</v>
      </c>
      <c r="M188" s="427">
        <f ca="1">M191+M194</f>
        <v>172500</v>
      </c>
      <c r="N188" s="427">
        <f ca="1">N191+N194</f>
        <v>8230</v>
      </c>
      <c r="O188" s="427">
        <f ca="1">IF(L188&gt;0,N188*100/L188,0)</f>
        <v>3.6303484781649757</v>
      </c>
      <c r="P188" s="427">
        <f ca="1">IF(M188&gt;0,N188*100/M188,0)</f>
        <v>4.7710144927536229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226700</v>
      </c>
      <c r="M189" s="427">
        <f ca="1">M190+M191</f>
        <v>172500</v>
      </c>
      <c r="N189" s="427">
        <f ca="1">N190+N191</f>
        <v>8230</v>
      </c>
      <c r="O189" s="427">
        <f ca="1">IF(L189&gt;0,N189*100/L189,0)</f>
        <v>3.6303484781649757</v>
      </c>
      <c r="P189" s="427">
        <f ca="1">IF(M189&gt;0,N189*100/M189,0)</f>
        <v>4.7710144927536229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IFERROR(__xludf.DUMMYFUNCTION("IMPORTRANGE(""https://docs.google.com/spreadsheets/d/1-uDff_7J0KD5mKrp0Vvzr7lt3OU09vwQwhkpOPPYv2Y/edit?usp=sharing"",""งบพรบ!CU60"")"),226700)</f>
        <v>226700</v>
      </c>
      <c r="M191" s="427">
        <f ca="1">IFERROR(__xludf.DUMMYFUNCTION("IMPORTRANGE(""https://docs.google.com/spreadsheets/d/1-uDff_7J0KD5mKrp0Vvzr7lt3OU09vwQwhkpOPPYv2Y/edit?usp=sharing"",""งบพรบ!CZ60"")"),172500)</f>
        <v>172500</v>
      </c>
      <c r="N191" s="427">
        <f ca="1">IFERROR(__xludf.DUMMYFUNCTION("IMPORTRANGE(""https://docs.google.com/spreadsheets/d/1-uDff_7J0KD5mKrp0Vvzr7lt3OU09vwQwhkpOPPYv2Y/edit?usp=sharing"",""งบพรบ!DB60"")"),8230)</f>
        <v>8230</v>
      </c>
      <c r="O191" s="427">
        <f ca="1">IF(L191&gt;0,N191*100/L191,0)</f>
        <v>3.6303484781649757</v>
      </c>
      <c r="P191" s="427">
        <f ca="1">IF(M191&gt;0,N191*100/M191,0)</f>
        <v>4.7710144927536229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IFERROR(__xludf.DUMMYFUNCTION("IMPORTRANGE(""https://docs.google.com/spreadsheets/d/1-uDff_7J0KD5mKrp0Vvzr7lt3OU09vwQwhkpOPPYv2Y/edit?usp=sharing"",""งบพรบ!CX60"")"),0)</f>
        <v>0</v>
      </c>
      <c r="M194" s="427">
        <f ca="1">IFERROR(__xludf.DUMMYFUNCTION("IMPORTRANGE(""https://docs.google.com/spreadsheets/d/1-uDff_7J0KD5mKrp0Vvzr7lt3OU09vwQwhkpOPPYv2Y/edit?usp=sharing"",""งบพรบ!DA60"")"),0)</f>
        <v>0</v>
      </c>
      <c r="N194" s="427">
        <f ca="1">IFERROR(__xludf.DUMMYFUNCTION("IMPORTRANGE(""https://docs.google.com/spreadsheets/d/1-uDff_7J0KD5mKrp0Vvzr7lt3OU09vwQwhkpOPPYv2Y/edit?usp=sharing"",""งบพรบ!DC60"")"),0)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IFERROR(__xludf.DUMMYFUNCTION("IMPORTRANGE(""https://docs.google.com/spreadsheets/d/1eHaY18a8A9IcSdp1K8H6x8fbOy06t2VsZHhMHf-1x7Y/edit?usp=sharing"",""แผน!AB60"")"),6000)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IFERROR(__xludf.DUMMYFUNCTION("IMPORTRANGE(""https://docs.google.com/spreadsheets/d/1eHaY18a8A9IcSdp1K8H6x8fbOy06t2VsZHhMHf-1x7Y/edit?usp=sharing"",""แผน!AE60"")"),4)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hidden="1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0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hidden="1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hidden="1" x14ac:dyDescent="0.25">
      <c r="A204" s="706"/>
      <c r="B204" s="421"/>
      <c r="C204" s="421"/>
      <c r="D204" s="295" t="s">
        <v>80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IFERROR(__xludf.DUMMYFUNCTION("IMPORTRANGE(""https://docs.google.com/spreadsheets/d/1eHaY18a8A9IcSdp1K8H6x8fbOy06t2VsZHhMHf-1x7Y/edit?usp=sharing"",""แผน!AG60"")"),0)</f>
        <v>0</v>
      </c>
      <c r="M204" s="430"/>
      <c r="N204" s="840">
        <v>0</v>
      </c>
      <c r="O204" s="700"/>
      <c r="P204" s="430"/>
    </row>
    <row r="205" spans="1:16" ht="18.75" hidden="1" x14ac:dyDescent="0.25">
      <c r="A205" s="419"/>
      <c r="B205" s="421"/>
      <c r="C205" s="421"/>
      <c r="D205" s="295" t="s">
        <v>82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IFERROR(__xludf.DUMMYFUNCTION("IMPORTRANGE(""https://docs.google.com/spreadsheets/d/1eHaY18a8A9IcSdp1K8H6x8fbOy06t2VsZHhMHf-1x7Y/edit?usp=sharing"",""แผน!AI60"")"),0)</f>
        <v>0</v>
      </c>
      <c r="M205" s="430"/>
      <c r="N205" s="840">
        <v>0</v>
      </c>
      <c r="O205" s="700"/>
      <c r="P205" s="430"/>
    </row>
    <row r="206" spans="1:16" ht="18.75" hidden="1" x14ac:dyDescent="0.25">
      <c r="A206" s="419"/>
      <c r="B206" s="421"/>
      <c r="C206" s="421"/>
      <c r="D206" s="295" t="s">
        <v>89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IFERROR(__xludf.DUMMYFUNCTION("IMPORTRANGE(""https://docs.google.com/spreadsheets/d/1eHaY18a8A9IcSdp1K8H6x8fbOy06t2VsZHhMHf-1x7Y/edit?usp=sharing"",""แผน!AJ60"")"),0)</f>
        <v>0</v>
      </c>
      <c r="M206" s="430"/>
      <c r="N206" s="840">
        <v>0</v>
      </c>
      <c r="O206" s="700"/>
      <c r="P206" s="430"/>
    </row>
    <row r="207" spans="1:16" ht="12.75" hidden="1" x14ac:dyDescent="0.2">
      <c r="A207" s="788"/>
      <c r="B207" s="787"/>
      <c r="C207" s="786"/>
      <c r="D207" s="786"/>
      <c r="E207" s="786"/>
      <c r="F207" s="786"/>
      <c r="G207" s="785"/>
      <c r="H207" s="785"/>
      <c r="I207" s="783"/>
      <c r="J207" s="783"/>
      <c r="K207" s="782"/>
      <c r="L207" s="782"/>
      <c r="M207" s="782"/>
      <c r="N207" s="782"/>
      <c r="O207" s="782"/>
      <c r="P207" s="782"/>
    </row>
    <row r="208" spans="1:16" ht="19.5" hidden="1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hidden="1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IFERROR(__xludf.DUMMYFUNCTION("IMPORTRANGE(""https://docs.google.com/spreadsheets/d/1eHaY18a8A9IcSdp1K8H6x8fbOy06t2VsZHhMHf-1x7Y/edit?usp=sharing"",""แผน!AK60"")"),0)</f>
        <v>0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hidden="1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hidden="1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IFERROR(__xludf.DUMMYFUNCTION("IMPORTRANGE(""https://docs.google.com/spreadsheets/d/1eHaY18a8A9IcSdp1K8H6x8fbOy06t2VsZHhMHf-1x7Y/edit?usp=sharing"",""แผน!AK60"")"),0)</f>
        <v>0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hidden="1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IFERROR(__xludf.DUMMYFUNCTION("IMPORTRANGE(""https://docs.google.com/spreadsheets/d/1eHaY18a8A9IcSdp1K8H6x8fbOy06t2VsZHhMHf-1x7Y/edit?usp=sharing"",""แผน!AK60"")"),0)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IFERROR(__xludf.DUMMYFUNCTION("IMPORTRANGE(""https://docs.google.com/spreadsheets/d/1eHaY18a8A9IcSdp1K8H6x8fbOy06t2VsZHhMHf-1x7Y/edit?usp=sharing"",""แผน!AM60"")"),0)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IFERROR(__xludf.DUMMYFUNCTION("IMPORTRANGE(""https://docs.google.com/spreadsheets/d/1eHaY18a8A9IcSdp1K8H6x8fbOy06t2VsZHhMHf-1x7Y/edit?usp=sharing"",""แผน!AN60"")"),0)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IFERROR(__xludf.DUMMYFUNCTION("IMPORTRANGE(""https://docs.google.com/spreadsheets/d/1eHaY18a8A9IcSdp1K8H6x8fbOy06t2VsZHhMHf-1x7Y/edit?usp=sharing"",""แผน!AO60"")"),0)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IFERROR(__xludf.DUMMYFUNCTION("IMPORTRANGE(""https://docs.google.com/spreadsheets/d/1eHaY18a8A9IcSdp1K8H6x8fbOy06t2VsZHhMHf-1x7Y/edit?usp=sharing"",""แผน!AP60"")"),0)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IFERROR(__xludf.DUMMYFUNCTION("IMPORTRANGE(""https://docs.google.com/spreadsheets/d/1eHaY18a8A9IcSdp1K8H6x8fbOy06t2VsZHhMHf-1x7Y/edit?usp=sharing"",""แผน!AP60"")"),0)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5000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IFERROR(__xludf.DUMMYFUNCTION("IMPORTRANGE(""https://docs.google.com/spreadsheets/d/1eHaY18a8A9IcSdp1K8H6x8fbOy06t2VsZHhMHf-1x7Y/edit?usp=sharing"",""แผน!AR60"")"),3000)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IFERROR(__xludf.DUMMYFUNCTION("IMPORTRANGE(""https://docs.google.com/spreadsheets/d/1eHaY18a8A9IcSdp1K8H6x8fbOy06t2VsZHhMHf-1x7Y/edit?usp=sharing"",""แผน!AS60"")"),1500)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IFERROR(__xludf.DUMMYFUNCTION("IMPORTRANGE(""https://docs.google.com/spreadsheets/d/1eHaY18a8A9IcSdp1K8H6x8fbOy06t2VsZHhMHf-1x7Y/edit?usp=sharing"",""แผน!AT60"")"),0)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IFERROR(__xludf.DUMMYFUNCTION("IMPORTRANGE(""https://docs.google.com/spreadsheets/d/1eHaY18a8A9IcSdp1K8H6x8fbOy06t2VsZHhMHf-1x7Y/edit?usp=sharing"",""แผน!AV60"")"),5000)</f>
        <v>5000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IFERROR(__xludf.DUMMYFUNCTION("IMPORTRANGE(""https://docs.google.com/spreadsheets/d/1eHaY18a8A9IcSdp1K8H6x8fbOy06t2VsZHhMHf-1x7Y/edit?usp=sharing"",""แผน!AV60"")"),5000)</f>
        <v>5000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IFERROR(__xludf.DUMMYFUNCTION("IMPORTRANGE(""https://docs.google.com/spreadsheets/d/1eHaY18a8A9IcSdp1K8H6x8fbOy06t2VsZHhMHf-1x7Y/edit?usp=sharing"",""แผน!AU60"")"),0)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15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46500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21000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15500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15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20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165</v>
      </c>
      <c r="D242" s="284"/>
      <c r="E242" s="284"/>
      <c r="F242" s="284"/>
      <c r="G242" s="285"/>
      <c r="H242" s="286" t="s">
        <v>33</v>
      </c>
      <c r="I242" s="287">
        <f ca="1">I249</f>
        <v>15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46500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IFERROR(__xludf.DUMMYFUNCTION("IMPORTRANGE(""https://docs.google.com/spreadsheets/d/1eHaY18a8A9IcSdp1K8H6x8fbOy06t2VsZHhMHf-1x7Y/edit?usp=sharing"",""แผน!AX60"")"),8000)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IFERROR(__xludf.DUMMYFUNCTION("IMPORTRANGE(""https://docs.google.com/spreadsheets/d/1eHaY18a8A9IcSdp1K8H6x8fbOy06t2VsZHhMHf-1x7Y/edit?usp=sharing"",""แผน!AY60"")"),2000)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IFERROR(__xludf.DUMMYFUNCTION("IMPORTRANGE(""https://docs.google.com/spreadsheets/d/1eHaY18a8A9IcSdp1K8H6x8fbOy06t2VsZHhMHf-1x7Y/edit?usp=sharing"",""แผน!AZ60"")"),21000)</f>
        <v>21000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IFERROR(__xludf.DUMMYFUNCTION("IMPORTRANGE(""https://docs.google.com/spreadsheets/d/1eHaY18a8A9IcSdp1K8H6x8fbOy06t2VsZHhMHf-1x7Y/edit?usp=sharing"",""แผน!BA60"")"),15500)</f>
        <v>15500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IFERROR(__xludf.DUMMYFUNCTION("IMPORTRANGE(""https://docs.google.com/spreadsheets/d/1eHaY18a8A9IcSdp1K8H6x8fbOy06t2VsZHhMHf-1x7Y/edit?usp=sharing"",""แผน!BG60"")"),15)</f>
        <v>15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IFERROR(__xludf.DUMMYFUNCTION("IMPORTRANGE(""https://docs.google.com/spreadsheets/d/1eHaY18a8A9IcSdp1K8H6x8fbOy06t2VsZHhMHf-1x7Y/edit?usp=sharing"",""แผน!KB60"")"),20)</f>
        <v>20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IFERROR(__xludf.DUMMYFUNCTION("IMPORTRANGE(""https://docs.google.com/spreadsheets/d/1eHaY18a8A9IcSdp1K8H6x8fbOy06t2VsZHhMHf-1x7Y/edit?usp=sharing"",""แผน!KC60"")"),1)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IFERROR(__xludf.DUMMYFUNCTION("IMPORTRANGE(""https://docs.google.com/spreadsheets/d/1eHaY18a8A9IcSdp1K8H6x8fbOy06t2VsZHhMHf-1x7Y/edit?usp=sharing"",""แผน!BB60"")"),0)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IFERROR(__xludf.DUMMYFUNCTION("IMPORTRANGE(""https://docs.google.com/spreadsheets/d/1eHaY18a8A9IcSdp1K8H6x8fbOy06t2VsZHhMHf-1x7Y/edit?usp=sharing"",""แผน!BC60"")"),0)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IFERROR(__xludf.DUMMYFUNCTION("IMPORTRANGE(""https://docs.google.com/spreadsheets/d/1eHaY18a8A9IcSdp1K8H6x8fbOy06t2VsZHhMHf-1x7Y/edit?usp=sharing"",""แผน!BD60"")"),0)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IFERROR(__xludf.DUMMYFUNCTION("IMPORTRANGE(""https://docs.google.com/spreadsheets/d/1eHaY18a8A9IcSdp1K8H6x8fbOy06t2VsZHhMHf-1x7Y/edit?usp=sharing"",""แผน!BE60"")"),0)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IFERROR(__xludf.DUMMYFUNCTION("IMPORTRANGE(""https://docs.google.com/spreadsheets/d/1eHaY18a8A9IcSdp1K8H6x8fbOy06t2VsZHhMHf-1x7Y/edit?usp=sharing"",""แผน!BH60"")"),0)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IFERROR(__xludf.DUMMYFUNCTION("IMPORTRANGE(""https://docs.google.com/spreadsheets/d/1-uDff_7J0KD5mKrp0Vvzr7lt3OU09vwQwhkpOPPYv2Y/edit?usp=sharing"",""งบพรบ!DE60"")"),0)</f>
        <v>0</v>
      </c>
      <c r="M271" s="522">
        <f ca="1">IFERROR(__xludf.DUMMYFUNCTION("IMPORTRANGE(""https://docs.google.com/spreadsheets/d/1-uDff_7J0KD5mKrp0Vvzr7lt3OU09vwQwhkpOPPYv2Y/edit?usp=sharing"",""งบพรบ!DJ60"")"),0)</f>
        <v>0</v>
      </c>
      <c r="N271" s="522">
        <f ca="1">IFERROR(__xludf.DUMMYFUNCTION("IMPORTRANGE(""https://docs.google.com/spreadsheets/d/1-uDff_7J0KD5mKrp0Vvzr7lt3OU09vwQwhkpOPPYv2Y/edit?usp=sharing"",""งบพรบ!DL60"")"),0)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IFERROR(__xludf.DUMMYFUNCTION("IMPORTRANGE(""https://docs.google.com/spreadsheets/d/1-uDff_7J0KD5mKrp0Vvzr7lt3OU09vwQwhkpOPPYv2Y/edit?usp=sharing"",""งบพรบ!DH60"")"),0)</f>
        <v>0</v>
      </c>
      <c r="M274" s="522">
        <f ca="1">IFERROR(__xludf.DUMMYFUNCTION("IMPORTRANGE(""https://docs.google.com/spreadsheets/d/1-uDff_7J0KD5mKrp0Vvzr7lt3OU09vwQwhkpOPPYv2Y/edit?usp=sharing"",""งบพรบ!DK60"")"),0)</f>
        <v>0</v>
      </c>
      <c r="N274" s="522">
        <f ca="1">IFERROR(__xludf.DUMMYFUNCTION("IMPORTRANGE(""https://docs.google.com/spreadsheets/d/1-uDff_7J0KD5mKrp0Vvzr7lt3OU09vwQwhkpOPPYv2Y/edit?usp=sharing"",""งบพรบ!DM60"")"),0)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IFERROR(__xludf.DUMMYFUNCTION("IMPORTRANGE(""https://docs.google.com/spreadsheets/d/1-uDff_7J0KD5mKrp0Vvzr7lt3OU09vwQwhkpOPPYv2Y/edit?usp=sharing"",""งบพรบ!DO60"")"),0)</f>
        <v>0</v>
      </c>
      <c r="M287" s="427">
        <f ca="1">IFERROR(__xludf.DUMMYFUNCTION("IMPORTRANGE(""https://docs.google.com/spreadsheets/d/1-uDff_7J0KD5mKrp0Vvzr7lt3OU09vwQwhkpOPPYv2Y/edit?usp=sharing"",""งบพรบ!DT60"")"),0)</f>
        <v>0</v>
      </c>
      <c r="N287" s="427">
        <f ca="1">IFERROR(__xludf.DUMMYFUNCTION("IMPORTRANGE(""https://docs.google.com/spreadsheets/d/1-uDff_7J0KD5mKrp0Vvzr7lt3OU09vwQwhkpOPPYv2Y/edit?usp=sharing"",""งบพรบ!DV60"")"),0)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IFERROR(__xludf.DUMMYFUNCTION("IMPORTRANGE(""https://docs.google.com/spreadsheets/d/1-uDff_7J0KD5mKrp0Vvzr7lt3OU09vwQwhkpOPPYv2Y/edit?usp=sharing"",""งบพรบ!DR60"")"),0)</f>
        <v>0</v>
      </c>
      <c r="M290" s="427">
        <f ca="1">IFERROR(__xludf.DUMMYFUNCTION("IMPORTRANGE(""https://docs.google.com/spreadsheets/d/1-uDff_7J0KD5mKrp0Vvzr7lt3OU09vwQwhkpOPPYv2Y/edit?usp=sharing"",""งบพรบ!DU60"")"),0)</f>
        <v>0</v>
      </c>
      <c r="N290" s="427">
        <f ca="1">IFERROR(__xludf.DUMMYFUNCTION("IMPORTRANGE(""https://docs.google.com/spreadsheets/d/1-uDff_7J0KD5mKrp0Vvzr7lt3OU09vwQwhkpOPPYv2Y/edit?usp=sharing"",""งบพรบ!DW60"")"),0)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IFERROR(__xludf.DUMMYFUNCTION("IMPORTRANGE(""https://docs.google.com/spreadsheets/d/1eHaY18a8A9IcSdp1K8H6x8fbOy06t2VsZHhMHf-1x7Y/edit?usp=sharing"",""แผน!EE60"")"),0)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IFERROR(__xludf.DUMMYFUNCTION("IMPORTRANGE(""https://docs.google.com/spreadsheets/d/1eHaY18a8A9IcSdp1K8H6x8fbOy06t2VsZHhMHf-1x7Y/edit?usp=sharing"",""แผน!ED60"")"),0)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IFERROR(__xludf.DUMMYFUNCTION("IMPORTRANGE(""https://docs.google.com/spreadsheets/d/1eHaY18a8A9IcSdp1K8H6x8fbOy06t2VsZHhMHf-1x7Y/edit?usp=sharing"",""แผน!ED60"")"),0)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IFERROR(__xludf.DUMMYFUNCTION("IMPORTRANGE(""https://docs.google.com/spreadsheets/d/1eHaY18a8A9IcSdp1K8H6x8fbOy06t2VsZHhMHf-1x7Y/edit?usp=sharing"",""แผน!ED60"")"),0)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IFERROR(__xludf.DUMMYFUNCTION("IMPORTRANGE(""https://docs.google.com/spreadsheets/d/1-uDff_7J0KD5mKrp0Vvzr7lt3OU09vwQwhkpOPPYv2Y/edit?usp=sharing"",""งบพรบ!DY60"")"),0)</f>
        <v>0</v>
      </c>
      <c r="M308" s="427">
        <f ca="1">IFERROR(__xludf.DUMMYFUNCTION("IMPORTRANGE(""https://docs.google.com/spreadsheets/d/1-uDff_7J0KD5mKrp0Vvzr7lt3OU09vwQwhkpOPPYv2Y/edit?usp=sharing"",""งบพรบ!ED60"")"),0)</f>
        <v>0</v>
      </c>
      <c r="N308" s="427">
        <f ca="1">IFERROR(__xludf.DUMMYFUNCTION("IMPORTRANGE(""https://docs.google.com/spreadsheets/d/1-uDff_7J0KD5mKrp0Vvzr7lt3OU09vwQwhkpOPPYv2Y/edit?usp=sharing"",""งบพรบ!EF60"")"),0)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IFERROR(__xludf.DUMMYFUNCTION("IMPORTRANGE(""https://docs.google.com/spreadsheets/d/1-uDff_7J0KD5mKrp0Vvzr7lt3OU09vwQwhkpOPPYv2Y/edit?usp=sharing"",""งบพรบ!EB60"")"),0)</f>
        <v>0</v>
      </c>
      <c r="M311" s="427">
        <f ca="1">IFERROR(__xludf.DUMMYFUNCTION("IMPORTRANGE(""https://docs.google.com/spreadsheets/d/1-uDff_7J0KD5mKrp0Vvzr7lt3OU09vwQwhkpOPPYv2Y/edit?usp=sharing"",""งบพรบ!EE60"")"),0)</f>
        <v>0</v>
      </c>
      <c r="N311" s="427">
        <f ca="1">IFERROR(__xludf.DUMMYFUNCTION("IMPORTRANGE(""https://docs.google.com/spreadsheets/d/1-uDff_7J0KD5mKrp0Vvzr7lt3OU09vwQwhkpOPPYv2Y/edit?usp=sharing"",""งบพรบ!EG60"")"),0)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IFERROR(__xludf.DUMMYFUNCTION("IMPORTRANGE(""https://docs.google.com/spreadsheets/d/1eHaY18a8A9IcSdp1K8H6x8fbOy06t2VsZHhMHf-1x7Y/edit?usp=sharing"",""แผน!EF60"")"),0)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IFERROR(__xludf.DUMMYFUNCTION("IMPORTRANGE(""https://docs.google.com/spreadsheets/d/1eHaY18a8A9IcSdp1K8H6x8fbOy06t2VsZHhMHf-1x7Y/edit?usp=sharing"",""แผน!EG60"")"),0)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IFERROR(__xludf.DUMMYFUNCTION("IMPORTRANGE(""https://docs.google.com/spreadsheets/d/1eHaY18a8A9IcSdp1K8H6x8fbOy06t2VsZHhMHf-1x7Y/edit?usp=sharing"",""แผน!EH60"")"),0)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IFERROR(__xludf.DUMMYFUNCTION("IMPORTRANGE(""https://docs.google.com/spreadsheets/d/1eHaY18a8A9IcSdp1K8H6x8fbOy06t2VsZHhMHf-1x7Y/edit?usp=sharing"",""แผน!EI60"")"),0)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IFERROR(__xludf.DUMMYFUNCTION("IMPORTRANGE(""https://docs.google.com/spreadsheets/d/1-uDff_7J0KD5mKrp0Vvzr7lt3OU09vwQwhkpOPPYv2Y/edit?usp=sharing"",""งบพรบ!EI60"")"),0)</f>
        <v>0</v>
      </c>
      <c r="M325" s="427">
        <f ca="1">IFERROR(__xludf.DUMMYFUNCTION("IMPORTRANGE(""https://docs.google.com/spreadsheets/d/1-uDff_7J0KD5mKrp0Vvzr7lt3OU09vwQwhkpOPPYv2Y/edit?usp=sharing"",""งบพรบ!EN60"")"),0)</f>
        <v>0</v>
      </c>
      <c r="N325" s="427">
        <f ca="1">IFERROR(__xludf.DUMMYFUNCTION("IMPORTRANGE(""https://docs.google.com/spreadsheets/d/1-uDff_7J0KD5mKrp0Vvzr7lt3OU09vwQwhkpOPPYv2Y/edit?usp=sharing"",""งบพรบ!EP60"")"),0)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IFERROR(__xludf.DUMMYFUNCTION("IMPORTRANGE(""https://docs.google.com/spreadsheets/d/1-uDff_7J0KD5mKrp0Vvzr7lt3OU09vwQwhkpOPPYv2Y/edit?usp=sharing"",""งบพรบ!EL60"")"),0)</f>
        <v>0</v>
      </c>
      <c r="M328" s="427">
        <f ca="1">IFERROR(__xludf.DUMMYFUNCTION("IMPORTRANGE(""https://docs.google.com/spreadsheets/d/1-uDff_7J0KD5mKrp0Vvzr7lt3OU09vwQwhkpOPPYv2Y/edit?usp=sharing"",""งบพรบ!EO60"")"),0)</f>
        <v>0</v>
      </c>
      <c r="N328" s="427">
        <f ca="1">IFERROR(__xludf.DUMMYFUNCTION("IMPORTRANGE(""https://docs.google.com/spreadsheets/d/1-uDff_7J0KD5mKrp0Vvzr7lt3OU09vwQwhkpOPPYv2Y/edit?usp=sharing"",""งบพรบ!EQ60"")"),0)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IFERROR(__xludf.DUMMYFUNCTION("IMPORTRANGE(""https://docs.google.com/spreadsheets/d/1eHaY18a8A9IcSdp1K8H6x8fbOy06t2VsZHhMHf-1x7Y/edit?usp=sharing"",""แผน!EJ60"")"),0)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140</v>
      </c>
      <c r="J332" s="404">
        <f ca="1">J344+J347+J348+J349+J353</f>
        <v>181</v>
      </c>
      <c r="K332" s="405">
        <f ca="1">IF(I332&gt;0,J332*100/I332,0)</f>
        <v>129.28571428571428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283100</v>
      </c>
      <c r="M333" s="737">
        <f ca="1">M334+M335</f>
        <v>205850</v>
      </c>
      <c r="N333" s="737">
        <f ca="1">N334+N335</f>
        <v>52165</v>
      </c>
      <c r="O333" s="737">
        <f ca="1">IF(L333&gt;0,N333*100/L333,0)</f>
        <v>18.426351112681033</v>
      </c>
      <c r="P333" s="737">
        <f ca="1">IF(M333&gt;0,N333*100/M333,0)</f>
        <v>25.341267913529268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283100</v>
      </c>
      <c r="M335" s="427">
        <f ca="1">M338+M341</f>
        <v>205850</v>
      </c>
      <c r="N335" s="427">
        <f ca="1">N338+N341</f>
        <v>52165</v>
      </c>
      <c r="O335" s="427">
        <f ca="1">IF(L335&gt;0,N335*100/L335,0)</f>
        <v>18.426351112681033</v>
      </c>
      <c r="P335" s="427">
        <f ca="1">IF(M335&gt;0,N335*100/M335,0)</f>
        <v>25.341267913529268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283100</v>
      </c>
      <c r="M336" s="427">
        <f ca="1">M337+M338</f>
        <v>205850</v>
      </c>
      <c r="N336" s="427">
        <f ca="1">N337+N338</f>
        <v>52165</v>
      </c>
      <c r="O336" s="427">
        <f ca="1">IF(L336&gt;0,N336*100/L336,0)</f>
        <v>18.426351112681033</v>
      </c>
      <c r="P336" s="427">
        <f ca="1">IF(M336&gt;0,N336*100/M336,0)</f>
        <v>25.341267913529268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IFERROR(__xludf.DUMMYFUNCTION("IMPORTRANGE(""https://docs.google.com/spreadsheets/d/1-uDff_7J0KD5mKrp0Vvzr7lt3OU09vwQwhkpOPPYv2Y/edit?usp=sharing"",""งบพรบ!ES60"")"),283100)</f>
        <v>283100</v>
      </c>
      <c r="M338" s="427">
        <f ca="1">IFERROR(__xludf.DUMMYFUNCTION("IMPORTRANGE(""https://docs.google.com/spreadsheets/d/1-uDff_7J0KD5mKrp0Vvzr7lt3OU09vwQwhkpOPPYv2Y/edit?usp=sharing"",""งบพรบ!EX60"")"),205850)</f>
        <v>205850</v>
      </c>
      <c r="N338" s="427">
        <f ca="1">IFERROR(__xludf.DUMMYFUNCTION("IMPORTRANGE(""https://docs.google.com/spreadsheets/d/1-uDff_7J0KD5mKrp0Vvzr7lt3OU09vwQwhkpOPPYv2Y/edit?usp=sharing"",""งบพรบ!EZ60"")"),52165)</f>
        <v>52165</v>
      </c>
      <c r="O338" s="427">
        <f ca="1">IF(L338&gt;0,N338*100/L338,0)</f>
        <v>18.426351112681033</v>
      </c>
      <c r="P338" s="427">
        <f ca="1">IF(M338&gt;0,N338*100/M338,0)</f>
        <v>25.341267913529268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IFERROR(__xludf.DUMMYFUNCTION("IMPORTRANGE(""https://docs.google.com/spreadsheets/d/1-uDff_7J0KD5mKrp0Vvzr7lt3OU09vwQwhkpOPPYv2Y/edit?usp=sharing"",""งบพรบ!EV60"")"),0)</f>
        <v>0</v>
      </c>
      <c r="M341" s="427">
        <f ca="1">IFERROR(__xludf.DUMMYFUNCTION("IMPORTRANGE(""https://docs.google.com/spreadsheets/d/1-uDff_7J0KD5mKrp0Vvzr7lt3OU09vwQwhkpOPPYv2Y/edit?usp=sharing"",""งบพรบ!EY60"")"),0)</f>
        <v>0</v>
      </c>
      <c r="N341" s="427">
        <f ca="1">IFERROR(__xludf.DUMMYFUNCTION("IMPORTRANGE(""https://docs.google.com/spreadsheets/d/1-uDff_7J0KD5mKrp0Vvzr7lt3OU09vwQwhkpOPPYv2Y/edit?usp=sharing"",""งบพรบ!FA60"")"),0)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181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IFERROR(__xludf.DUMMYFUNCTION("IMPORTRANGE(""https://docs.google.com/spreadsheets/d/1eHaY18a8A9IcSdp1K8H6x8fbOy06t2VsZHhMHf-1x7Y/edit?usp=sharing"",""แผน!EK60"")"),140)</f>
        <v>140</v>
      </c>
      <c r="J344" s="426">
        <f ca="1">IFERROR(__xludf.DUMMYFUNCTION("IMPORTRANGE(""https://docs.google.com/spreadsheets/d/1awYsYK3VOup2i3Pq_Yjnu8DRu_mYwSBnCR2QPthd0rU/edit?usp=sharing"",""ศูนย์ยกเว้นโฉนด!D60"")"),47)</f>
        <v>47</v>
      </c>
      <c r="K344" s="427">
        <f ca="1">IF(I344&gt;0,J344*100/I344,0)</f>
        <v>33.571428571428569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IFERROR(__xludf.DUMMYFUNCTION("IMPORTRANGE(""https://docs.google.com/spreadsheets/d/1eHaY18a8A9IcSdp1K8H6x8fbOy06t2VsZHhMHf-1x7Y/edit?usp=sharing"",""แผน!EL60"")"),1)</f>
        <v>1</v>
      </c>
      <c r="J346" s="426">
        <f ca="1">IFERROR(__xludf.DUMMYFUNCTION("IMPORTRANGE(""https://docs.google.com/spreadsheets/d/1awYsYK3VOup2i3Pq_Yjnu8DRu_mYwSBnCR2QPthd0rU/edit?usp=sharing"",""ศูนย์รวม!E60"")"),1)</f>
        <v>1</v>
      </c>
      <c r="K346" s="427">
        <f ca="1">IF(I346&gt;0,J346*100/I346,0)</f>
        <v>100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IFERROR(__xludf.DUMMYFUNCTION("IMPORTRANGE(""https://docs.google.com/spreadsheets/d/1awYsYK3VOup2i3Pq_Yjnu8DRu_mYwSBnCR2QPthd0rU/edit?usp=sharing"",""ศูนย์ยกเว้นโฉนด!F60"")"),126)</f>
        <v>126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IFERROR(__xludf.DUMMYFUNCTION("IMPORTRANGE(""https://docs.google.com/spreadsheets/d/1awYsYK3VOup2i3Pq_Yjnu8DRu_mYwSBnCR2QPthd0rU/edit?usp=sharing"",""ศูนย์ยกเว้นโฉนด!G60"")"),7)</f>
        <v>7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IFERROR(__xludf.DUMMYFUNCTION("IMPORTRANGE(""https://docs.google.com/spreadsheets/d/1awYsYK3VOup2i3Pq_Yjnu8DRu_mYwSBnCR2QPthd0rU/edit?usp=sharing"",""ศูนย์ยกเว้นโฉนด!H60"")"),1)</f>
        <v>1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IFERROR(__xludf.DUMMYFUNCTION("IMPORTRANGE(""https://docs.google.com/spreadsheets/d/1awYsYK3VOup2i3Pq_Yjnu8DRu_mYwSBnCR2QPthd0rU/edit?usp=sharing"",""โฉนดM3!G60"")"),0)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IFERROR(__xludf.DUMMYFUNCTION("IMPORTRANGE(""https://docs.google.com/spreadsheets/d/1awYsYK3VOup2i3Pq_Yjnu8DRu_mYwSBnCR2QPthd0rU/edit?usp=sharing"",""โฉนดM3!H60"")"),0)</f>
        <v>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115055</v>
      </c>
      <c r="M356" s="737">
        <f ca="1">M357+M358</f>
        <v>89055</v>
      </c>
      <c r="N356" s="737">
        <f ca="1">N357+N358</f>
        <v>26000</v>
      </c>
      <c r="O356" s="737">
        <f ca="1">IF(L356&gt;0,N356*100/L356,0)</f>
        <v>22.597887966624658</v>
      </c>
      <c r="P356" s="737">
        <f ca="1">IF(M356&gt;0,N356*100/M356,0)</f>
        <v>29.195441019594632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115055</v>
      </c>
      <c r="M358" s="427">
        <f ca="1">M361+M364</f>
        <v>89055</v>
      </c>
      <c r="N358" s="427">
        <f ca="1">N361+N364</f>
        <v>26000</v>
      </c>
      <c r="O358" s="427">
        <f ca="1">IF(L358&gt;0,N358*100/L358,0)</f>
        <v>22.597887966624658</v>
      </c>
      <c r="P358" s="427">
        <f ca="1">IF(M358&gt;0,N358*100/M358,0)</f>
        <v>29.195441019594632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115055</v>
      </c>
      <c r="M359" s="427">
        <f ca="1">M360+M361</f>
        <v>89055</v>
      </c>
      <c r="N359" s="427">
        <f ca="1">N360+N361</f>
        <v>26000</v>
      </c>
      <c r="O359" s="427">
        <f ca="1">IF(L359&gt;0,N359*100/L359,0)</f>
        <v>22.597887966624658</v>
      </c>
      <c r="P359" s="427">
        <f ca="1">IF(M359&gt;0,N359*100/M359,0)</f>
        <v>29.195441019594632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IFERROR(__xludf.DUMMYFUNCTION("IMPORTRANGE(""https://docs.google.com/spreadsheets/d/1-uDff_7J0KD5mKrp0Vvzr7lt3OU09vwQwhkpOPPYv2Y/edit?usp=sharing"",""งบพรบ!FC60"")"),115055)</f>
        <v>115055</v>
      </c>
      <c r="M361" s="427">
        <f ca="1">IFERROR(__xludf.DUMMYFUNCTION("IMPORTRANGE(""https://docs.google.com/spreadsheets/d/1-uDff_7J0KD5mKrp0Vvzr7lt3OU09vwQwhkpOPPYv2Y/edit?usp=sharing"",""งบพรบ!FH60"")"),89055)</f>
        <v>89055</v>
      </c>
      <c r="N361" s="427">
        <f ca="1">IFERROR(__xludf.DUMMYFUNCTION("IMPORTRANGE(""https://docs.google.com/spreadsheets/d/1-uDff_7J0KD5mKrp0Vvzr7lt3OU09vwQwhkpOPPYv2Y/edit?usp=sharing"",""งบพรบ!FJ60"")"),26000)</f>
        <v>26000</v>
      </c>
      <c r="O361" s="427">
        <f ca="1">IF(L361&gt;0,N361*100/L361,0)</f>
        <v>22.597887966624658</v>
      </c>
      <c r="P361" s="427">
        <f ca="1">IF(M361&gt;0,N361*100/M361,0)</f>
        <v>29.195441019594632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IFERROR(__xludf.DUMMYFUNCTION("IMPORTRANGE(""https://docs.google.com/spreadsheets/d/1-uDff_7J0KD5mKrp0Vvzr7lt3OU09vwQwhkpOPPYv2Y/edit?usp=sharing"",""งบพรบ!FF60"")"),0)</f>
        <v>0</v>
      </c>
      <c r="M364" s="427">
        <f ca="1">IFERROR(__xludf.DUMMYFUNCTION("IMPORTRANGE(""https://docs.google.com/spreadsheets/d/1-uDff_7J0KD5mKrp0Vvzr7lt3OU09vwQwhkpOPPYv2Y/edit?usp=sharing"",""งบพรบ!FI60"")"),0)</f>
        <v>0</v>
      </c>
      <c r="N364" s="427">
        <f ca="1">IFERROR(__xludf.DUMMYFUNCTION("IMPORTRANGE(""https://docs.google.com/spreadsheets/d/1-uDff_7J0KD5mKrp0Vvzr7lt3OU09vwQwhkpOPPYv2Y/edit?usp=sharing"",""งบพรบ!FK60"")"),0)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0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IFERROR(__xludf.DUMMYFUNCTION("IMPORTRANGE(""https://docs.google.com/spreadsheets/d/1tdoBKaGub7dwA3U6UFTqxio9LNnvDCQjHKmttSEBsFQ/edit?usp=sharing"",""จัดที่ดิน!AB60"")"),0)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IFERROR(__xludf.DUMMYFUNCTION("IMPORTRANGE(""https://docs.google.com/spreadsheets/d/1eHaY18a8A9IcSdp1K8H6x8fbOy06t2VsZHhMHf-1x7Y/edit?usp=sharing"",""แผน!EW60"")"),0)</f>
        <v>0</v>
      </c>
      <c r="J368" s="726">
        <f ca="1">IFERROR(__xludf.DUMMYFUNCTION("IMPORTRANGE(""https://docs.google.com/spreadsheets/d/1tdoBKaGub7dwA3U6UFTqxio9LNnvDCQjHKmttSEBsFQ/edit?usp=sharing"",""จัดที่ดิน!AC60"")"),0)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IFERROR(__xludf.DUMMYFUNCTION("IMPORTRANGE(""https://docs.google.com/spreadsheets/d/1eHaY18a8A9IcSdp1K8H6x8fbOy06t2VsZHhMHf-1x7Y/edit?usp=sharing"",""แผน!EX60"")"),0)</f>
        <v>0</v>
      </c>
      <c r="J369" s="426">
        <f ca="1">IFERROR(__xludf.DUMMYFUNCTION("IMPORTRANGE(""https://docs.google.com/spreadsheets/d/1tdoBKaGub7dwA3U6UFTqxio9LNnvDCQjHKmttSEBsFQ/edit?usp=sharing"",""จัดที่ดิน!AD60"")"),0)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IFERROR(__xludf.DUMMYFUNCTION("IMPORTRANGE(""https://docs.google.com/spreadsheets/d/1tdoBKaGub7dwA3U6UFTqxio9LNnvDCQjHKmttSEBsFQ/edit?usp=sharing"",""จัดที่ดิน!AE60"")"),0)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IFERROR(__xludf.DUMMYFUNCTION("IMPORTRANGE(""https://docs.google.com/spreadsheets/d/1eHaY18a8A9IcSdp1K8H6x8fbOy06t2VsZHhMHf-1x7Y/edit?usp=sharing"",""แผน!EY60"")"),0)</f>
        <v>0</v>
      </c>
      <c r="J371" s="426">
        <f ca="1">IFERROR(__xludf.DUMMYFUNCTION("IMPORTRANGE(""https://docs.google.com/spreadsheets/d/1tdoBKaGub7dwA3U6UFTqxio9LNnvDCQjHKmttSEBsFQ/edit?usp=sharing"",""จัดที่ดิน!AF60"")"),0)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IFERROR(__xludf.DUMMYFUNCTION("IMPORTRANGE(""https://docs.google.com/spreadsheets/d/1tdoBKaGub7dwA3U6UFTqxio9LNnvDCQjHKmttSEBsFQ/edit?usp=sharing"",""จัดที่ดิน!AG60"")"),0)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IFERROR(__xludf.DUMMYFUNCTION("IMPORTRANGE(""https://docs.google.com/spreadsheets/d/1-uDff_7J0KD5mKrp0Vvzr7lt3OU09vwQwhkpOPPYv2Y/edit?usp=sharing"",""งบพรบ!FM60"")"),0)</f>
        <v>0</v>
      </c>
      <c r="M382" s="522">
        <f ca="1">IFERROR(__xludf.DUMMYFUNCTION("IMPORTRANGE(""https://docs.google.com/spreadsheets/d/1-uDff_7J0KD5mKrp0Vvzr7lt3OU09vwQwhkpOPPYv2Y/edit?usp=sharing"",""งบพรบ!FR60"")"),0)</f>
        <v>0</v>
      </c>
      <c r="N382" s="522">
        <f ca="1">IFERROR(__xludf.DUMMYFUNCTION("IMPORTRANGE(""https://docs.google.com/spreadsheets/d/1-uDff_7J0KD5mKrp0Vvzr7lt3OU09vwQwhkpOPPYv2Y/edit?usp=sharing"",""งบพรบ!FT60"")"),0)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IFERROR(__xludf.DUMMYFUNCTION("IMPORTRANGE(""https://docs.google.com/spreadsheets/d/1-uDff_7J0KD5mKrp0Vvzr7lt3OU09vwQwhkpOPPYv2Y/edit?usp=sharing"",""งบพรบ!FP60"")"),0)</f>
        <v>0</v>
      </c>
      <c r="M385" s="522">
        <f ca="1">IFERROR(__xludf.DUMMYFUNCTION("IMPORTRANGE(""https://docs.google.com/spreadsheets/d/1-uDff_7J0KD5mKrp0Vvzr7lt3OU09vwQwhkpOPPYv2Y/edit?usp=sharing"",""งบพรบ!FS60"")"),0)</f>
        <v>0</v>
      </c>
      <c r="N385" s="522">
        <f ca="1">IFERROR(__xludf.DUMMYFUNCTION("IMPORTRANGE(""https://docs.google.com/spreadsheets/d/1-uDff_7J0KD5mKrp0Vvzr7lt3OU09vwQwhkpOPPYv2Y/edit?usp=sharing"",""งบพรบ!FU60"")"),0)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C046B-A5D3-4370-B025-A9E3BD8E40E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172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1622880</v>
      </c>
      <c r="M18" s="865">
        <f ca="1">M19+M20</f>
        <v>1313180</v>
      </c>
      <c r="N18" s="865">
        <f ca="1">N19+N20</f>
        <v>628568.73</v>
      </c>
      <c r="O18" s="865">
        <f ca="1">IF(L18&gt;0,N18*100/L18,0)</f>
        <v>38.731682564330079</v>
      </c>
      <c r="P18" s="865">
        <f ca="1">IF(M18&gt;0,N18*100/M18,0)</f>
        <v>47.866151631916416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1622880</v>
      </c>
      <c r="M20" s="972">
        <f ca="1">M23+M26</f>
        <v>1313180</v>
      </c>
      <c r="N20" s="972">
        <f ca="1">N23+N26</f>
        <v>628568.73</v>
      </c>
      <c r="O20" s="972">
        <f ca="1">IF(L20&gt;0,N20*100/L20,0)</f>
        <v>38.731682564330079</v>
      </c>
      <c r="P20" s="972">
        <f ca="1">IF(M20&gt;0,N20*100/M20,0)</f>
        <v>47.866151631916416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1622880</v>
      </c>
      <c r="M21" s="427">
        <f ca="1">M22+M23</f>
        <v>1313180</v>
      </c>
      <c r="N21" s="427">
        <f ca="1">N22+N23</f>
        <v>628568.73</v>
      </c>
      <c r="O21" s="427">
        <f ca="1">IF(L21&gt;0,N21*100/L21,0)</f>
        <v>38.731682564330079</v>
      </c>
      <c r="P21" s="427">
        <f ca="1">IF(M21&gt;0,N21*100/M21,0)</f>
        <v>47.866151631916416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1622880</v>
      </c>
      <c r="M23" s="427">
        <f ca="1">M49+M64+M77+M99+M130+M144+M162+M191+M178+M271+M287+M308+M325+M338+M361+M382</f>
        <v>1313180</v>
      </c>
      <c r="N23" s="427">
        <f ca="1">N49+N64+N77+N99+N130+N144+N162+N191+N178+N271+N287+N308+N325+N338+N361+N382</f>
        <v>628568.73</v>
      </c>
      <c r="O23" s="427">
        <f ca="1">IF(L23&gt;0,N23*100/L23,0)</f>
        <v>38.731682564330079</v>
      </c>
      <c r="P23" s="427">
        <f ca="1">IF(M23&gt;0,N23*100/M23,0)</f>
        <v>47.866151631916416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1622880</v>
      </c>
      <c r="M40" s="964">
        <f ca="1">M44+M59+M72+M94+M125+M139+M157+M173+M186+M266+M282+M303+M320+M333+M356</f>
        <v>1313180</v>
      </c>
      <c r="N40" s="964">
        <f ca="1">N44+N59+N72+N94+N125+N139+N157+N173+N186+N266+N282+N303+N320+N333+N356</f>
        <v>628568.73</v>
      </c>
      <c r="O40" s="964">
        <f ca="1">IF(L40&gt;0,N40*100/L40,0)</f>
        <v>38.731682564330079</v>
      </c>
      <c r="P40" s="964">
        <f ca="1">IF(M40&gt;0,N40*100/M40,0)</f>
        <v>47.866151631916416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307900</v>
      </c>
      <c r="M44" s="949">
        <f ca="1">M45+M46</f>
        <v>312400</v>
      </c>
      <c r="N44" s="949">
        <f ca="1">N45+N46</f>
        <v>142900</v>
      </c>
      <c r="O44" s="949">
        <f ca="1">IF(L44&gt;0,N44*100/L44,0)</f>
        <v>46.41117245859045</v>
      </c>
      <c r="P44" s="949">
        <f ca="1">IF(M44&gt;0,N44*100/M44,0)</f>
        <v>45.742637644046091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307900</v>
      </c>
      <c r="M46" s="941">
        <f ca="1">M49+M52</f>
        <v>312400</v>
      </c>
      <c r="N46" s="941">
        <f ca="1">N49+N52</f>
        <v>142900</v>
      </c>
      <c r="O46" s="941">
        <f ca="1">IF(L46&gt;0,N46*100/L46,0)</f>
        <v>46.41117245859045</v>
      </c>
      <c r="P46" s="941">
        <f ca="1">IF(M46&gt;0,N46*100/M46,0)</f>
        <v>45.742637644046091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307900</v>
      </c>
      <c r="M47" s="427">
        <f ca="1">M48+M49</f>
        <v>312400</v>
      </c>
      <c r="N47" s="427">
        <f ca="1">N48+N49</f>
        <v>142900</v>
      </c>
      <c r="O47" s="427">
        <f ca="1">IF(L47&gt;0,N47*100/L47,0)</f>
        <v>46.41117245859045</v>
      </c>
      <c r="P47" s="427">
        <f ca="1">IF(M47&gt;0,N47*100/M47,0)</f>
        <v>45.742637644046091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IFERROR(__xludf.DUMMYFUNCTION("IMPORTRANGE(""https://docs.google.com/spreadsheets/d/1-uDff_7J0KD5mKrp0Vvzr7lt3OU09vwQwhkpOPPYv2Y/edit?usp=sharing"",""งบพรบ!P61"")"),307900)</f>
        <v>307900</v>
      </c>
      <c r="M49" s="427">
        <f ca="1">IFERROR(__xludf.DUMMYFUNCTION("IMPORTRANGE(""https://docs.google.com/spreadsheets/d/1-uDff_7J0KD5mKrp0Vvzr7lt3OU09vwQwhkpOPPYv2Y/edit?usp=sharing"",""งบพรบ!V61"")"),312400)</f>
        <v>312400</v>
      </c>
      <c r="N49" s="427">
        <f ca="1">IFERROR(__xludf.DUMMYFUNCTION("IMPORTRANGE(""https://docs.google.com/spreadsheets/d/1-uDff_7J0KD5mKrp0Vvzr7lt3OU09vwQwhkpOPPYv2Y/edit?usp=sharing"",""งบพรบ!Y61"")"),142900)</f>
        <v>142900</v>
      </c>
      <c r="O49" s="427">
        <f ca="1">IF(L49&gt;0,N49*100/L49,0)</f>
        <v>46.41117245859045</v>
      </c>
      <c r="P49" s="427">
        <f ca="1">IF(M49&gt;0,N49*100/M49,0)</f>
        <v>45.742637644046091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IFERROR(__xludf.DUMMYFUNCTION("IMPORTRANGE(""https://docs.google.com/spreadsheets/d/1-uDff_7J0KD5mKrp0Vvzr7lt3OU09vwQwhkpOPPYv2Y/edit?usp=sharing"",""งบพรบ!S61"")"),0)</f>
        <v>0</v>
      </c>
      <c r="M52" s="427">
        <f ca="1">IFERROR(__xludf.DUMMYFUNCTION("IMPORTRANGE(""https://docs.google.com/spreadsheets/d/1-uDff_7J0KD5mKrp0Vvzr7lt3OU09vwQwhkpOPPYv2Y/edit?usp=sharing"",""งบพรบ!W61"")"),0)</f>
        <v>0</v>
      </c>
      <c r="N52" s="427">
        <f ca="1">IFERROR(__xludf.DUMMYFUNCTION("IMPORTRANGE(""https://docs.google.com/spreadsheets/d/1-uDff_7J0KD5mKrp0Vvzr7lt3OU09vwQwhkpOPPYv2Y/edit?usp=sharing"",""งบพรบ!Z61"")"),0)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450500</v>
      </c>
      <c r="M59" s="921">
        <f ca="1">M60+M61</f>
        <v>339950</v>
      </c>
      <c r="N59" s="921">
        <f ca="1">N60+N61</f>
        <v>240364</v>
      </c>
      <c r="O59" s="921">
        <f ca="1">IF(L59&gt;0,N59*100/L59,0)</f>
        <v>53.354938956714761</v>
      </c>
      <c r="P59" s="921">
        <f ca="1">IF(M59&gt;0,N59*100/M59,0)</f>
        <v>70.705692013531404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450500</v>
      </c>
      <c r="M61" s="913">
        <f ca="1">M64+M67</f>
        <v>339950</v>
      </c>
      <c r="N61" s="913">
        <f ca="1">N64+N67</f>
        <v>240364</v>
      </c>
      <c r="O61" s="913">
        <f ca="1">IF(L61&gt;0,N61*100/L61,0)</f>
        <v>53.354938956714761</v>
      </c>
      <c r="P61" s="913">
        <f ca="1">IF(M61&gt;0,N61*100/M61,0)</f>
        <v>70.705692013531404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450500</v>
      </c>
      <c r="M62" s="427">
        <f ca="1">M63+M64</f>
        <v>339950</v>
      </c>
      <c r="N62" s="427">
        <f ca="1">N63+N64</f>
        <v>240364</v>
      </c>
      <c r="O62" s="427">
        <f ca="1">IF(L62&gt;0,N62*100/L62,0)</f>
        <v>53.354938956714761</v>
      </c>
      <c r="P62" s="427">
        <f ca="1">IF(M62&gt;0,N62*100/M62,0)</f>
        <v>70.705692013531404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IFERROR(__xludf.DUMMYFUNCTION("IMPORTRANGE(""https://docs.google.com/spreadsheets/d/1-uDff_7J0KD5mKrp0Vvzr7lt3OU09vwQwhkpOPPYv2Y/edit?usp=sharing"",""งบพรบ!AC61"")"),450500)</f>
        <v>450500</v>
      </c>
      <c r="M64" s="427">
        <f ca="1">IFERROR(__xludf.DUMMYFUNCTION("IMPORTRANGE(""https://docs.google.com/spreadsheets/d/1-uDff_7J0KD5mKrp0Vvzr7lt3OU09vwQwhkpOPPYv2Y/edit?usp=sharing"",""งบพรบ!AH61"")"),339950)</f>
        <v>339950</v>
      </c>
      <c r="N64" s="427">
        <f ca="1">IFERROR(__xludf.DUMMYFUNCTION("IMPORTRANGE(""https://docs.google.com/spreadsheets/d/1-uDff_7J0KD5mKrp0Vvzr7lt3OU09vwQwhkpOPPYv2Y/edit?usp=sharing"",""งบพรบ!AJ61"")"),240364)</f>
        <v>240364</v>
      </c>
      <c r="O64" s="427">
        <f ca="1">IF(L64&gt;0,N64*100/L64,0)</f>
        <v>53.354938956714761</v>
      </c>
      <c r="P64" s="427">
        <f ca="1">IF(M64&gt;0,N64*100/M64,0)</f>
        <v>70.705692013531404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IFERROR(__xludf.DUMMYFUNCTION("IMPORTRANGE(""https://docs.google.com/spreadsheets/d/1-uDff_7J0KD5mKrp0Vvzr7lt3OU09vwQwhkpOPPYv2Y/edit?usp=sharing"",""งบพรบ!AF61"")"),0)</f>
        <v>0</v>
      </c>
      <c r="M67" s="644">
        <f ca="1">IFERROR(__xludf.DUMMYFUNCTION("IMPORTRANGE(""https://docs.google.com/spreadsheets/d/1-uDff_7J0KD5mKrp0Vvzr7lt3OU09vwQwhkpOPPYv2Y/edit?usp=sharing"",""งบพรบ!AI61"")"),0)</f>
        <v>0</v>
      </c>
      <c r="N67" s="644">
        <f ca="1">IFERROR(__xludf.DUMMYFUNCTION("IMPORTRANGE(""https://docs.google.com/spreadsheets/d/1-uDff_7J0KD5mKrp0Vvzr7lt3OU09vwQwhkpOPPYv2Y/edit?usp=sharing"",""งบพรบ!AK61"")"),0)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IFERROR(__xludf.DUMMYFUNCTION("IMPORTRANGE(""https://docs.google.com/spreadsheets/d/1-uDff_7J0KD5mKrp0Vvzr7lt3OU09vwQwhkpOPPYv2Y/edit?usp=sharing"",""งบพรบ!AM61"")"),0)</f>
        <v>0</v>
      </c>
      <c r="M77" s="427">
        <f ca="1">IFERROR(__xludf.DUMMYFUNCTION("IMPORTRANGE(""https://docs.google.com/spreadsheets/d/1-uDff_7J0KD5mKrp0Vvzr7lt3OU09vwQwhkpOPPYv2Y/edit?usp=sharing"",""งบพรบ!AR61"")"),0)</f>
        <v>0</v>
      </c>
      <c r="N77" s="427">
        <f ca="1">IFERROR(__xludf.DUMMYFUNCTION("IMPORTRANGE(""https://docs.google.com/spreadsheets/d/1-uDff_7J0KD5mKrp0Vvzr7lt3OU09vwQwhkpOPPYv2Y/edit?usp=sharing"",""งบพรบ!AT61"")"),0)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IFERROR(__xludf.DUMMYFUNCTION("IMPORTRANGE(""https://docs.google.com/spreadsheets/d/1-uDff_7J0KD5mKrp0Vvzr7lt3OU09vwQwhkpOPPYv2Y/edit?usp=sharing"",""งบพรบ!AP61"")"),0)</f>
        <v>0</v>
      </c>
      <c r="M80" s="427">
        <f ca="1">IFERROR(__xludf.DUMMYFUNCTION("IMPORTRANGE(""https://docs.google.com/spreadsheets/d/1-uDff_7J0KD5mKrp0Vvzr7lt3OU09vwQwhkpOPPYv2Y/edit?usp=sharing"",""งบพรบ!AS61"")"),0)</f>
        <v>0</v>
      </c>
      <c r="N80" s="427">
        <f ca="1">IFERROR(__xludf.DUMMYFUNCTION("IMPORTRANGE(""https://docs.google.com/spreadsheets/d/1-uDff_7J0KD5mKrp0Vvzr7lt3OU09vwQwhkpOPPYv2Y/edit?usp=sharing"",""งบพรบ!AU61"")"),0)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IFERROR(__xludf.DUMMYFUNCTION("IMPORTRANGE(""https://docs.google.com/spreadsheets/d/1eHaY18a8A9IcSdp1K8H6x8fbOy06t2VsZHhMHf-1x7Y/edit?usp=sharing"",""แผน!H61"")"),0)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IFERROR(__xludf.DUMMYFUNCTION("IMPORTRANGE(""https://docs.google.com/spreadsheets/d/1eHaY18a8A9IcSdp1K8H6x8fbOy06t2VsZHhMHf-1x7Y/edit?usp=sharing"",""แผน!I61"")"),0)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IFERROR(__xludf.DUMMYFUNCTION("IMPORTRANGE(""https://docs.google.com/spreadsheets/d/1eHaY18a8A9IcSdp1K8H6x8fbOy06t2VsZHhMHf-1x7Y/edit?usp=sharing"",""แผน!F61"")"),0)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IFERROR(__xludf.DUMMYFUNCTION("IMPORTRANGE(""https://docs.google.com/spreadsheets/d/1eHaY18a8A9IcSdp1K8H6x8fbOy06t2VsZHhMHf-1x7Y/edit?usp=sharing"",""แผน!G61"")"),0)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IFERROR(__xludf.DUMMYFUNCTION("IMPORTRANGE(""https://docs.google.com/spreadsheets/d/1eHaY18a8A9IcSdp1K8H6x8fbOy06t2VsZHhMHf-1x7Y/edit?usp=sharing"",""แผน!D61"")"),0)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IFERROR(__xludf.DUMMYFUNCTION("IMPORTRANGE(""https://docs.google.com/spreadsheets/d/1eHaY18a8A9IcSdp1K8H6x8fbOy06t2VsZHhMHf-1x7Y/edit?usp=sharing"",""แผน!E61"")"),0)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IFERROR(__xludf.DUMMYFUNCTION("IMPORTRANGE(""https://docs.google.com/spreadsheets/d/1eHaY18a8A9IcSdp1K8H6x8fbOy06t2VsZHhMHf-1x7Y/edit?usp=sharing"",""แผน!J61"")"),0)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IFERROR(__xludf.DUMMYFUNCTION("IMPORTRANGE(""https://docs.google.com/spreadsheets/d/1-uDff_7J0KD5mKrp0Vvzr7lt3OU09vwQwhkpOPPYv2Y/edit?usp=sharing"",""งบพรบ!AW61"")"),0)</f>
        <v>0</v>
      </c>
      <c r="M99" s="427">
        <f ca="1">IFERROR(__xludf.DUMMYFUNCTION("IMPORTRANGE(""https://docs.google.com/spreadsheets/d/1-uDff_7J0KD5mKrp0Vvzr7lt3OU09vwQwhkpOPPYv2Y/edit?usp=sharing"",""งบพรบ!BB61"")"),0)</f>
        <v>0</v>
      </c>
      <c r="N99" s="427">
        <f ca="1">IFERROR(__xludf.DUMMYFUNCTION("IMPORTRANGE(""https://docs.google.com/spreadsheets/d/1-uDff_7J0KD5mKrp0Vvzr7lt3OU09vwQwhkpOPPYv2Y/edit?usp=sharing"",""งบพรบ!BD61"")"),0)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IFERROR(__xludf.DUMMYFUNCTION("IMPORTRANGE(""https://docs.google.com/spreadsheets/d/1-uDff_7J0KD5mKrp0Vvzr7lt3OU09vwQwhkpOPPYv2Y/edit?usp=sharing"",""งบพรบ!AZ61"")"),0)</f>
        <v>0</v>
      </c>
      <c r="M102" s="427">
        <f ca="1">IFERROR(__xludf.DUMMYFUNCTION("IMPORTRANGE(""https://docs.google.com/spreadsheets/d/1-uDff_7J0KD5mKrp0Vvzr7lt3OU09vwQwhkpOPPYv2Y/edit?usp=sharing"",""งบพรบ!BC61"")"),0)</f>
        <v>0</v>
      </c>
      <c r="N102" s="427">
        <f ca="1">IFERROR(__xludf.DUMMYFUNCTION("IMPORTRANGE(""https://docs.google.com/spreadsheets/d/1-uDff_7J0KD5mKrp0Vvzr7lt3OU09vwQwhkpOPPYv2Y/edit?usp=sharing"",""งบพรบ!BE61"")"),0)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IFERROR(__xludf.DUMMYFUNCTION("IMPORTRANGE(""https://docs.google.com/spreadsheets/d/1eHaY18a8A9IcSdp1K8H6x8fbOy06t2VsZHhMHf-1x7Y/edit?usp=sharing"",""แผน!N61"")"),0)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IFERROR(__xludf.DUMMYFUNCTION("IMPORTRANGE(""https://docs.google.com/spreadsheets/d/1eHaY18a8A9IcSdp1K8H6x8fbOy06t2VsZHhMHf-1x7Y/edit?usp=sharing"",""แผน!O61"")"),0)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IFERROR(__xludf.DUMMYFUNCTION("IMPORTRANGE(""https://docs.google.com/spreadsheets/d/1eHaY18a8A9IcSdp1K8H6x8fbOy06t2VsZHhMHf-1x7Y/edit?usp=sharing"",""แผน!R61"")"),0)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IFERROR(__xludf.DUMMYFUNCTION("IMPORTRANGE(""https://docs.google.com/spreadsheets/d/1-uDff_7J0KD5mKrp0Vvzr7lt3OU09vwQwhkpOPPYv2Y/edit?usp=sharing"",""งบพรบ!BG61"")"),0)</f>
        <v>0</v>
      </c>
      <c r="M130" s="886">
        <f ca="1">IFERROR(__xludf.DUMMYFUNCTION("IMPORTRANGE(""https://docs.google.com/spreadsheets/d/1-uDff_7J0KD5mKrp0Vvzr7lt3OU09vwQwhkpOPPYv2Y/edit?usp=sharing"",""งบพรบ!BL61"")"),0)</f>
        <v>0</v>
      </c>
      <c r="N130" s="886">
        <f ca="1">IFERROR(__xludf.DUMMYFUNCTION("IMPORTRANGE(""https://docs.google.com/spreadsheets/d/1-uDff_7J0KD5mKrp0Vvzr7lt3OU09vwQwhkpOPPYv2Y/edit?usp=sharing"",""งบพรบ!BN61"")"),0)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IFERROR(__xludf.DUMMYFUNCTION("IMPORTRANGE(""https://docs.google.com/spreadsheets/d/1-uDff_7J0KD5mKrp0Vvzr7lt3OU09vwQwhkpOPPYv2Y/edit?usp=sharing"",""งบพรบ!BJ61"")"),0)</f>
        <v>0</v>
      </c>
      <c r="M133" s="886">
        <f ca="1">IFERROR(__xludf.DUMMYFUNCTION("IMPORTRANGE(""https://docs.google.com/spreadsheets/d/1-uDff_7J0KD5mKrp0Vvzr7lt3OU09vwQwhkpOPPYv2Y/edit?usp=sharing"",""งบพรบ!BM61"")"),0)</f>
        <v>0</v>
      </c>
      <c r="N133" s="886">
        <f ca="1">IFERROR(__xludf.DUMMYFUNCTION("IMPORTRANGE(""https://docs.google.com/spreadsheets/d/1-uDff_7J0KD5mKrp0Vvzr7lt3OU09vwQwhkpOPPYv2Y/edit?usp=sharing"",""งบพรบ!BO61"")"),0)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IFERROR(__xludf.DUMMYFUNCTION("IMPORTRANGE(""https://docs.google.com/spreadsheets/d/1-uDff_7J0KD5mKrp0Vvzr7lt3OU09vwQwhkpOPPYv2Y/edit?usp=sharing"",""งบพรบ!BQ61"")"),0)</f>
        <v>0</v>
      </c>
      <c r="M144" s="427">
        <f ca="1">IFERROR(__xludf.DUMMYFUNCTION("IMPORTRANGE(""https://docs.google.com/spreadsheets/d/1-uDff_7J0KD5mKrp0Vvzr7lt3OU09vwQwhkpOPPYv2Y/edit?usp=sharing"",""งบพรบ!BV61"")"),0)</f>
        <v>0</v>
      </c>
      <c r="N144" s="427">
        <f ca="1">IFERROR(__xludf.DUMMYFUNCTION("IMPORTRANGE(""https://docs.google.com/spreadsheets/d/1-uDff_7J0KD5mKrp0Vvzr7lt3OU09vwQwhkpOPPYv2Y/edit?usp=sharing"",""งบพรบ!BX61"")"),0)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IFERROR(__xludf.DUMMYFUNCTION("IMPORTRANGE(""https://docs.google.com/spreadsheets/d/1-uDff_7J0KD5mKrp0Vvzr7lt3OU09vwQwhkpOPPYv2Y/edit?usp=sharing"",""งบพรบ!BT61"")"),0)</f>
        <v>0</v>
      </c>
      <c r="M147" s="427">
        <f ca="1">IFERROR(__xludf.DUMMYFUNCTION("IMPORTRANGE(""https://docs.google.com/spreadsheets/d/1-uDff_7J0KD5mKrp0Vvzr7lt3OU09vwQwhkpOPPYv2Y/edit?usp=sharing"",""งบพรบ!BW61"")"),0)</f>
        <v>0</v>
      </c>
      <c r="N147" s="427">
        <f ca="1">IFERROR(__xludf.DUMMYFUNCTION("IMPORTRANGE(""https://docs.google.com/spreadsheets/d/1-uDff_7J0KD5mKrp0Vvzr7lt3OU09vwQwhkpOPPYv2Y/edit?usp=sharing"",""งบพรบ!BY61"")"),0)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IFERROR(__xludf.DUMMYFUNCTION("IMPORTRANGE(""https://docs.google.com/spreadsheets/d/1eHaY18a8A9IcSdp1K8H6x8fbOy06t2VsZHhMHf-1x7Y/edit?usp=sharing"",""แผน!U61"")"),0)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IFERROR(__xludf.DUMMYFUNCTION("IMPORTRANGE(""https://docs.google.com/spreadsheets/d/1eHaY18a8A9IcSdp1K8H6x8fbOy06t2VsZHhMHf-1x7Y/edit?usp=sharing"",""แผน!V61"")"),0)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IFERROR(__xludf.DUMMYFUNCTION("IMPORTRANGE(""https://docs.google.com/spreadsheets/d/1eHaY18a8A9IcSdp1K8H6x8fbOy06t2VsZHhMHf-1x7Y/edit?usp=sharing"",""แผน!W61"")"),0)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IFERROR(__xludf.DUMMYFUNCTION("IMPORTRANGE(""https://docs.google.com/spreadsheets/d/1eHaY18a8A9IcSdp1K8H6x8fbOy06t2VsZHhMHf-1x7Y/edit?usp=sharing"",""แผน!X61"")"),0)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IFERROR(__xludf.DUMMYFUNCTION("IMPORTRANGE(""https://docs.google.com/spreadsheets/d/1eHaY18a8A9IcSdp1K8H6x8fbOy06t2VsZHhMHf-1x7Y/edit?usp=sharing"",""แผน!Y61"")"),0)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IFERROR(__xludf.DUMMYFUNCTION("IMPORTRANGE(""https://docs.google.com/spreadsheets/d/1-uDff_7J0KD5mKrp0Vvzr7lt3OU09vwQwhkpOPPYv2Y/edit?usp=sharing"",""งบพรบ!CA61"")"),0)</f>
        <v>0</v>
      </c>
      <c r="M162" s="427">
        <f ca="1">IFERROR(__xludf.DUMMYFUNCTION("IMPORTRANGE(""https://docs.google.com/spreadsheets/d/1-uDff_7J0KD5mKrp0Vvzr7lt3OU09vwQwhkpOPPYv2Y/edit?usp=sharing"",""งบพรบ!CF61"")"),0)</f>
        <v>0</v>
      </c>
      <c r="N162" s="427">
        <f ca="1">IFERROR(__xludf.DUMMYFUNCTION("IMPORTRANGE(""https://docs.google.com/spreadsheets/d/1-uDff_7J0KD5mKrp0Vvzr7lt3OU09vwQwhkpOPPYv2Y/edit?usp=sharing"",""งบพรบ!CH61"")"),0)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IFERROR(__xludf.DUMMYFUNCTION("IMPORTRANGE(""https://docs.google.com/spreadsheets/d/1-uDff_7J0KD5mKrp0Vvzr7lt3OU09vwQwhkpOPPYv2Y/edit?usp=sharing"",""งบพรบ!CD61"")"),0)</f>
        <v>0</v>
      </c>
      <c r="M165" s="427">
        <f ca="1">IFERROR(__xludf.DUMMYFUNCTION("IMPORTRANGE(""https://docs.google.com/spreadsheets/d/1-uDff_7J0KD5mKrp0Vvzr7lt3OU09vwQwhkpOPPYv2Y/edit?usp=sharing"",""งบพรบ!CG61"")"),0)</f>
        <v>0</v>
      </c>
      <c r="N165" s="427">
        <f ca="1">IFERROR(__xludf.DUMMYFUNCTION("IMPORTRANGE(""https://docs.google.com/spreadsheets/d/1-uDff_7J0KD5mKrp0Vvzr7lt3OU09vwQwhkpOPPYv2Y/edit?usp=sharing"",""งบพรบ!CI61"")"),0)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IFERROR(__xludf.DUMMYFUNCTION("IMPORTRANGE(""https://docs.google.com/spreadsheets/d/1eHaY18a8A9IcSdp1K8H6x8fbOy06t2VsZHhMHf-1x7Y/edit?usp=sharing"",""แผน!Z61"")"),0)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IFERROR(__xludf.DUMMYFUNCTION("IMPORTRANGE(""https://docs.google.com/spreadsheets/d/1eHaY18a8A9IcSdp1K8H6x8fbOy06t2VsZHhMHf-1x7Y/edit?usp=sharing"",""แผน!Z61"")"),0)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IFERROR(__xludf.DUMMYFUNCTION("IMPORTRANGE(""https://docs.google.com/spreadsheets/d/1eHaY18a8A9IcSdp1K8H6x8fbOy06t2VsZHhMHf-1x7Y/edit?usp=sharing"",""แผน!Z61"")"),0)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19590</v>
      </c>
      <c r="O173" s="737">
        <f ca="1">IF(L173&gt;0,N173*100/L173,0)</f>
        <v>100</v>
      </c>
      <c r="P173" s="737">
        <f ca="1">IF(M173&gt;0,N173*100/M173,0)</f>
        <v>100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19590</v>
      </c>
      <c r="O175" s="427">
        <f ca="1">IF(L175&gt;0,N175*100/L175,0)</f>
        <v>100</v>
      </c>
      <c r="P175" s="427">
        <f ca="1">IF(M175&gt;0,N175*100/M175,0)</f>
        <v>100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19590</v>
      </c>
      <c r="O176" s="427">
        <f ca="1">IF(L176&gt;0,N176*100/L176,0)</f>
        <v>100</v>
      </c>
      <c r="P176" s="427">
        <f ca="1">IF(M176&gt;0,N176*100/M176,0)</f>
        <v>100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IFERROR(__xludf.DUMMYFUNCTION("IMPORTRANGE(""https://docs.google.com/spreadsheets/d/1-uDff_7J0KD5mKrp0Vvzr7lt3OU09vwQwhkpOPPYv2Y/edit?usp=sharing"",""งบพรบ!CK61"")"),19590)</f>
        <v>19590</v>
      </c>
      <c r="M178" s="427">
        <f ca="1">IFERROR(__xludf.DUMMYFUNCTION("IMPORTRANGE(""https://docs.google.com/spreadsheets/d/1-uDff_7J0KD5mKrp0Vvzr7lt3OU09vwQwhkpOPPYv2Y/edit?usp=sharing"",""งบพรบ!CP61"")"),19590)</f>
        <v>19590</v>
      </c>
      <c r="N178" s="427">
        <f ca="1">IFERROR(__xludf.DUMMYFUNCTION("IMPORTRANGE(""https://docs.google.com/spreadsheets/d/1-uDff_7J0KD5mKrp0Vvzr7lt3OU09vwQwhkpOPPYv2Y/edit?usp=sharing"",""งบพรบ!CR61"")"),19590)</f>
        <v>19590</v>
      </c>
      <c r="O178" s="427">
        <f ca="1">IF(L178&gt;0,N178*100/L178,0)</f>
        <v>100</v>
      </c>
      <c r="P178" s="427">
        <f ca="1">IF(M178&gt;0,N178*100/M178,0)</f>
        <v>100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IFERROR(__xludf.DUMMYFUNCTION("IMPORTRANGE(""https://docs.google.com/spreadsheets/d/1-uDff_7J0KD5mKrp0Vvzr7lt3OU09vwQwhkpOPPYv2Y/edit?usp=sharing"",""งบพรบ!CN61"")"),0)</f>
        <v>0</v>
      </c>
      <c r="M181" s="427">
        <f ca="1">IFERROR(__xludf.DUMMYFUNCTION("IMPORTRANGE(""https://docs.google.com/spreadsheets/d/1-uDff_7J0KD5mKrp0Vvzr7lt3OU09vwQwhkpOPPYv2Y/edit?usp=sharing"",""งบพรบ!CQ61"")"),0)</f>
        <v>0</v>
      </c>
      <c r="N181" s="427">
        <f ca="1">IFERROR(__xludf.DUMMYFUNCTION("IMPORTRANGE(""https://docs.google.com/spreadsheets/d/1-uDff_7J0KD5mKrp0Vvzr7lt3OU09vwQwhkpOPPYv2Y/edit?usp=sharing"",""งบพรบ!CS61"")"),0)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IFERROR(__xludf.DUMMYFUNCTION("IMPORTRANGE(""https://docs.google.com/spreadsheets/d/1eHaY18a8A9IcSdp1K8H6x8fbOy06t2VsZHhMHf-1x7Y/edit?usp=sharing"",""แผน!AA61"")"),7)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60</v>
      </c>
      <c r="J185" s="851">
        <f>J230+J231</f>
        <v>30</v>
      </c>
      <c r="K185" s="850">
        <f ca="1">IF(I185&gt;0,J185*100/I185,0)</f>
        <v>50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391600</v>
      </c>
      <c r="M186" s="737">
        <f ca="1">M187+M188</f>
        <v>306400</v>
      </c>
      <c r="N186" s="737">
        <f ca="1">N187+N188</f>
        <v>109064.76</v>
      </c>
      <c r="O186" s="737">
        <f ca="1">IF(L186&gt;0,N186*100/L186,0)</f>
        <v>27.851062308478038</v>
      </c>
      <c r="P186" s="737">
        <f ca="1">IF(M186&gt;0,N186*100/M186,0)</f>
        <v>35.595548302872061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391600</v>
      </c>
      <c r="M188" s="427">
        <f ca="1">M191+M194</f>
        <v>306400</v>
      </c>
      <c r="N188" s="427">
        <f ca="1">N191+N194</f>
        <v>109064.76</v>
      </c>
      <c r="O188" s="427">
        <f ca="1">IF(L188&gt;0,N188*100/L188,0)</f>
        <v>27.851062308478038</v>
      </c>
      <c r="P188" s="427">
        <f ca="1">IF(M188&gt;0,N188*100/M188,0)</f>
        <v>35.595548302872061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391600</v>
      </c>
      <c r="M189" s="427">
        <f ca="1">M190+M191</f>
        <v>306400</v>
      </c>
      <c r="N189" s="427">
        <f ca="1">N190+N191</f>
        <v>109064.76</v>
      </c>
      <c r="O189" s="427">
        <f ca="1">IF(L189&gt;0,N189*100/L189,0)</f>
        <v>27.851062308478038</v>
      </c>
      <c r="P189" s="427">
        <f ca="1">IF(M189&gt;0,N189*100/M189,0)</f>
        <v>35.595548302872061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IFERROR(__xludf.DUMMYFUNCTION("IMPORTRANGE(""https://docs.google.com/spreadsheets/d/1-uDff_7J0KD5mKrp0Vvzr7lt3OU09vwQwhkpOPPYv2Y/edit?usp=sharing"",""งบพรบ!CU61"")"),391600)</f>
        <v>391600</v>
      </c>
      <c r="M191" s="427">
        <f ca="1">IFERROR(__xludf.DUMMYFUNCTION("IMPORTRANGE(""https://docs.google.com/spreadsheets/d/1-uDff_7J0KD5mKrp0Vvzr7lt3OU09vwQwhkpOPPYv2Y/edit?usp=sharing"",""งบพรบ!CZ61"")"),306400)</f>
        <v>306400</v>
      </c>
      <c r="N191" s="427">
        <f ca="1">IFERROR(__xludf.DUMMYFUNCTION("IMPORTRANGE(""https://docs.google.com/spreadsheets/d/1-uDff_7J0KD5mKrp0Vvzr7lt3OU09vwQwhkpOPPYv2Y/edit?usp=sharing"",""งบพรบ!DB61"")"),109064.76)</f>
        <v>109064.76</v>
      </c>
      <c r="O191" s="427">
        <f ca="1">IF(L191&gt;0,N191*100/L191,0)</f>
        <v>27.851062308478038</v>
      </c>
      <c r="P191" s="427">
        <f ca="1">IF(M191&gt;0,N191*100/M191,0)</f>
        <v>35.595548302872061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IFERROR(__xludf.DUMMYFUNCTION("IMPORTRANGE(""https://docs.google.com/spreadsheets/d/1-uDff_7J0KD5mKrp0Vvzr7lt3OU09vwQwhkpOPPYv2Y/edit?usp=sharing"",""งบพรบ!CX61"")"),0)</f>
        <v>0</v>
      </c>
      <c r="M194" s="427">
        <f ca="1">IFERROR(__xludf.DUMMYFUNCTION("IMPORTRANGE(""https://docs.google.com/spreadsheets/d/1-uDff_7J0KD5mKrp0Vvzr7lt3OU09vwQwhkpOPPYv2Y/edit?usp=sharing"",""งบพรบ!DA61"")"),0)</f>
        <v>0</v>
      </c>
      <c r="N194" s="427">
        <f ca="1">IFERROR(__xludf.DUMMYFUNCTION("IMPORTRANGE(""https://docs.google.com/spreadsheets/d/1-uDff_7J0KD5mKrp0Vvzr7lt3OU09vwQwhkpOPPYv2Y/edit?usp=sharing"",""งบพรบ!DC61"")"),0)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IFERROR(__xludf.DUMMYFUNCTION("IMPORTRANGE(""https://docs.google.com/spreadsheets/d/1eHaY18a8A9IcSdp1K8H6x8fbOy06t2VsZHhMHf-1x7Y/edit?usp=sharing"",""แผน!AB61"")"),6000)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IFERROR(__xludf.DUMMYFUNCTION("IMPORTRANGE(""https://docs.google.com/spreadsheets/d/1eHaY18a8A9IcSdp1K8H6x8fbOy06t2VsZHhMHf-1x7Y/edit?usp=sharing"",""แผน!AE61"")"),4)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1</v>
      </c>
      <c r="K202" s="441">
        <f ca="1">IF(I202&gt;0,J202*100/I202,0)</f>
        <v>100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8585</v>
      </c>
      <c r="O203" s="737">
        <f ca="1">IF(L203&gt;0,N203*100/L203,0)</f>
        <v>66.038461538461533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IFERROR(__xludf.DUMMYFUNCTION("IMPORTRANGE(""https://docs.google.com/spreadsheets/d/1eHaY18a8A9IcSdp1K8H6x8fbOy06t2VsZHhMHf-1x7Y/edit?usp=sharing"",""แผน!AG61"")"),1000)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IFERROR(__xludf.DUMMYFUNCTION("IMPORTRANGE(""https://docs.google.com/spreadsheets/d/1eHaY18a8A9IcSdp1K8H6x8fbOy06t2VsZHhMHf-1x7Y/edit?usp=sharing"",""แผน!AH61"")"),0)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IFERROR(__xludf.DUMMYFUNCTION("IMPORTRANGE(""https://docs.google.com/spreadsheets/d/1eHaY18a8A9IcSdp1K8H6x8fbOy06t2VsZHhMHf-1x7Y/edit?usp=sharing"",""แผน!AI61"")"),8000)</f>
        <v>8000</v>
      </c>
      <c r="M206" s="430"/>
      <c r="N206" s="840">
        <v>8585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IFERROR(__xludf.DUMMYFUNCTION("IMPORTRANGE(""https://docs.google.com/spreadsheets/d/1eHaY18a8A9IcSdp1K8H6x8fbOy06t2VsZHhMHf-1x7Y/edit?usp=sharing"",""แผน!AJ61"")"),4000)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IFERROR(__xludf.DUMMYFUNCTION("IMPORTRANGE(""https://docs.google.com/spreadsheets/d/1eHaY18a8A9IcSdp1K8H6x8fbOy06t2VsZHhMHf-1x7Y/edit?usp=sharing"",""แผน!AK61"")"),1)</f>
        <v>1</v>
      </c>
      <c r="J209" s="758">
        <v>1</v>
      </c>
      <c r="K209" s="789">
        <f ca="1">IF(I209&gt;0,J209*100/I209,0)</f>
        <v>100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IFERROR(__xludf.DUMMYFUNCTION("IMPORTRANGE(""https://docs.google.com/spreadsheets/d/1eHaY18a8A9IcSdp1K8H6x8fbOy06t2VsZHhMHf-1x7Y/edit?usp=sharing"",""แผน!JX61"")"),1)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IFERROR(__xludf.DUMMYFUNCTION("IMPORTRANGE(""https://docs.google.com/spreadsheets/d/1eHaY18a8A9IcSdp1K8H6x8fbOy06t2VsZHhMHf-1x7Y/edit?usp=sharing"",""แผน!JY61"")"),0)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IFERROR(__xludf.DUMMYFUNCTION("IMPORTRANGE(""https://docs.google.com/spreadsheets/d/1eHaY18a8A9IcSdp1K8H6x8fbOy06t2VsZHhMHf-1x7Y/edit?usp=sharing"",""แผน!AM61"")"),0)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IFERROR(__xludf.DUMMYFUNCTION("IMPORTRANGE(""https://docs.google.com/spreadsheets/d/1eHaY18a8A9IcSdp1K8H6x8fbOy06t2VsZHhMHf-1x7Y/edit?usp=sharing"",""แผน!AN61"")"),0)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IFERROR(__xludf.DUMMYFUNCTION("IMPORTRANGE(""https://docs.google.com/spreadsheets/d/1eHaY18a8A9IcSdp1K8H6x8fbOy06t2VsZHhMHf-1x7Y/edit?usp=sharing"",""แผน!AO61"")"),0)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IFERROR(__xludf.DUMMYFUNCTION("IMPORTRANGE(""https://docs.google.com/spreadsheets/d/1eHaY18a8A9IcSdp1K8H6x8fbOy06t2VsZHhMHf-1x7Y/edit?usp=sharing"",""แผน!AP61"")"),0)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IFERROR(__xludf.DUMMYFUNCTION("IMPORTRANGE(""https://docs.google.com/spreadsheets/d/1eHaY18a8A9IcSdp1K8H6x8fbOy06t2VsZHhMHf-1x7Y/edit?usp=sharing"",""แผน!AP61"")"),0)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IFERROR(__xludf.DUMMYFUNCTION("IMPORTRANGE(""https://docs.google.com/spreadsheets/d/1eHaY18a8A9IcSdp1K8H6x8fbOy06t2VsZHhMHf-1x7Y/edit?usp=sharing"",""แผน!AR61"")"),3000)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IFERROR(__xludf.DUMMYFUNCTION("IMPORTRANGE(""https://docs.google.com/spreadsheets/d/1eHaY18a8A9IcSdp1K8H6x8fbOy06t2VsZHhMHf-1x7Y/edit?usp=sharing"",""แผน!AS61"")"),1500)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IFERROR(__xludf.DUMMYFUNCTION("IMPORTRANGE(""https://docs.google.com/spreadsheets/d/1eHaY18a8A9IcSdp1K8H6x8fbOy06t2VsZHhMHf-1x7Y/edit?usp=sharing"",""แผน!AT61"")"),0)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IFERROR(__xludf.DUMMYFUNCTION("IMPORTRANGE(""https://docs.google.com/spreadsheets/d/1eHaY18a8A9IcSdp1K8H6x8fbOy06t2VsZHhMHf-1x7Y/edit?usp=sharing"",""แผน!AV61"")"),20000)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IFERROR(__xludf.DUMMYFUNCTION("IMPORTRANGE(""https://docs.google.com/spreadsheets/d/1eHaY18a8A9IcSdp1K8H6x8fbOy06t2VsZHhMHf-1x7Y/edit?usp=sharing"",""แผน!AV61"")"),20000)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IFERROR(__xludf.DUMMYFUNCTION("IMPORTRANGE(""https://docs.google.com/spreadsheets/d/1eHaY18a8A9IcSdp1K8H6x8fbOy06t2VsZHhMHf-1x7Y/edit?usp=sharing"",""แผน!AU61"")"),0)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83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60</v>
      </c>
      <c r="J231" s="613">
        <f>J242+J253</f>
        <v>30</v>
      </c>
      <c r="K231" s="612">
        <f ca="1">IF(I231&gt;0,J231*100/I231,0)</f>
        <v>50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9"/>
      <c r="C232" s="60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104900</v>
      </c>
      <c r="M232" s="521"/>
      <c r="N232" s="545">
        <f>N243+N254</f>
        <v>20800</v>
      </c>
      <c r="O232" s="521"/>
      <c r="P232" s="521"/>
    </row>
    <row r="233" spans="1:16" ht="18.75" hidden="1" x14ac:dyDescent="0.25">
      <c r="A233" s="541"/>
      <c r="B233" s="529"/>
      <c r="C233" s="529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3000</v>
      </c>
      <c r="M234" s="521"/>
      <c r="N234" s="522">
        <f>N245+N256</f>
        <v>20800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46900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47000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839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539" t="s">
        <v>33</v>
      </c>
      <c r="I238" s="201">
        <f ca="1">I249+I260</f>
        <v>60</v>
      </c>
      <c r="J238" s="201">
        <f>J249+J260</f>
        <v>30</v>
      </c>
      <c r="K238" s="522">
        <f ca="1">IF(I238&gt;0,J238*100/I238,0)</f>
        <v>50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839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539" t="s">
        <v>33</v>
      </c>
      <c r="I240" s="201">
        <f ca="1">I251+I262</f>
        <v>60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539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838" t="s">
        <v>165</v>
      </c>
      <c r="D242" s="284"/>
      <c r="E242" s="284"/>
      <c r="F242" s="284"/>
      <c r="G242" s="285"/>
      <c r="H242" s="286" t="s">
        <v>33</v>
      </c>
      <c r="I242" s="287">
        <f ca="1">I249</f>
        <v>60</v>
      </c>
      <c r="J242" s="287">
        <f>J249</f>
        <v>30</v>
      </c>
      <c r="K242" s="288">
        <f ca="1">IF(I242&gt;0,J242*100/I242,0)</f>
        <v>50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280"/>
      <c r="C243" s="29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104900</v>
      </c>
      <c r="M243" s="58"/>
      <c r="N243" s="161">
        <f>N244+N245+N246+N247</f>
        <v>20800</v>
      </c>
      <c r="O243" s="161">
        <f ca="1">IF(L243&gt;0,N243*100/L243,0)</f>
        <v>19.828408007626312</v>
      </c>
      <c r="P243" s="161">
        <f>IF(M243&gt;0,N243*100/M243,0)</f>
        <v>0</v>
      </c>
    </row>
    <row r="244" spans="1:16" ht="18.75" x14ac:dyDescent="0.25">
      <c r="A244" s="157"/>
      <c r="B244" s="280"/>
      <c r="C244" s="280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IFERROR(__xludf.DUMMYFUNCTION("IMPORTRANGE(""https://docs.google.com/spreadsheets/d/1eHaY18a8A9IcSdp1K8H6x8fbOy06t2VsZHhMHf-1x7Y/edit?usp=sharing"",""แผน!AX61"")"),8000)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IFERROR(__xludf.DUMMYFUNCTION("IMPORTRANGE(""https://docs.google.com/spreadsheets/d/1eHaY18a8A9IcSdp1K8H6x8fbOy06t2VsZHhMHf-1x7Y/edit?usp=sharing"",""แผน!AY61"")"),3000)</f>
        <v>3000</v>
      </c>
      <c r="M245" s="58"/>
      <c r="N245" s="620">
        <v>20800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IFERROR(__xludf.DUMMYFUNCTION("IMPORTRANGE(""https://docs.google.com/spreadsheets/d/1eHaY18a8A9IcSdp1K8H6x8fbOy06t2VsZHhMHf-1x7Y/edit?usp=sharing"",""แผน!AZ61"")"),46900)</f>
        <v>46900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IFERROR(__xludf.DUMMYFUNCTION("IMPORTRANGE(""https://docs.google.com/spreadsheets/d/1eHaY18a8A9IcSdp1K8H6x8fbOy06t2VsZHhMHf-1x7Y/edit?usp=sharing"",""แผน!BA61"")"),47000)</f>
        <v>47000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227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166" t="s">
        <v>33</v>
      </c>
      <c r="I249" s="196">
        <f ca="1">IFERROR(__xludf.DUMMYFUNCTION("IMPORTRANGE(""https://docs.google.com/spreadsheets/d/1eHaY18a8A9IcSdp1K8H6x8fbOy06t2VsZHhMHf-1x7Y/edit?usp=sharing"",""แผน!BG61"")"),60)</f>
        <v>60</v>
      </c>
      <c r="J249" s="578">
        <v>30</v>
      </c>
      <c r="K249" s="61">
        <f ca="1">IF(I249&gt;0,J249*100/I249,0)</f>
        <v>50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227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166" t="s">
        <v>33</v>
      </c>
      <c r="I251" s="196">
        <f ca="1">IFERROR(__xludf.DUMMYFUNCTION("IMPORTRANGE(""https://docs.google.com/spreadsheets/d/1eHaY18a8A9IcSdp1K8H6x8fbOy06t2VsZHhMHf-1x7Y/edit?usp=sharing"",""แผน!KB61"")"),60)</f>
        <v>60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166" t="s">
        <v>54</v>
      </c>
      <c r="I252" s="196">
        <f ca="1">IFERROR(__xludf.DUMMYFUNCTION("IMPORTRANGE(""https://docs.google.com/spreadsheets/d/1eHaY18a8A9IcSdp1K8H6x8fbOy06t2VsZHhMHf-1x7Y/edit?usp=sharing"",""แผน!KC61"")"),1)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IFERROR(__xludf.DUMMYFUNCTION("IMPORTRANGE(""https://docs.google.com/spreadsheets/d/1eHaY18a8A9IcSdp1K8H6x8fbOy06t2VsZHhMHf-1x7Y/edit?usp=sharing"",""แผน!BB61"")"),0)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IFERROR(__xludf.DUMMYFUNCTION("IMPORTRANGE(""https://docs.google.com/spreadsheets/d/1eHaY18a8A9IcSdp1K8H6x8fbOy06t2VsZHhMHf-1x7Y/edit?usp=sharing"",""แผน!BC61"")"),0)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IFERROR(__xludf.DUMMYFUNCTION("IMPORTRANGE(""https://docs.google.com/spreadsheets/d/1eHaY18a8A9IcSdp1K8H6x8fbOy06t2VsZHhMHf-1x7Y/edit?usp=sharing"",""แผน!BD61"")"),0)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IFERROR(__xludf.DUMMYFUNCTION("IMPORTRANGE(""https://docs.google.com/spreadsheets/d/1eHaY18a8A9IcSdp1K8H6x8fbOy06t2VsZHhMHf-1x7Y/edit?usp=sharing"",""แผน!BE61"")"),0)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IFERROR(__xludf.DUMMYFUNCTION("IMPORTRANGE(""https://docs.google.com/spreadsheets/d/1eHaY18a8A9IcSdp1K8H6x8fbOy06t2VsZHhMHf-1x7Y/edit?usp=sharing"",""แผน!BH61"")"),0)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IFERROR(__xludf.DUMMYFUNCTION("IMPORTRANGE(""https://docs.google.com/spreadsheets/d/1-uDff_7J0KD5mKrp0Vvzr7lt3OU09vwQwhkpOPPYv2Y/edit?usp=sharing"",""งบพรบ!DE61"")"),0)</f>
        <v>0</v>
      </c>
      <c r="M271" s="522">
        <f ca="1">IFERROR(__xludf.DUMMYFUNCTION("IMPORTRANGE(""https://docs.google.com/spreadsheets/d/1-uDff_7J0KD5mKrp0Vvzr7lt3OU09vwQwhkpOPPYv2Y/edit?usp=sharing"",""งบพรบ!DJ61"")"),0)</f>
        <v>0</v>
      </c>
      <c r="N271" s="522">
        <f ca="1">IFERROR(__xludf.DUMMYFUNCTION("IMPORTRANGE(""https://docs.google.com/spreadsheets/d/1-uDff_7J0KD5mKrp0Vvzr7lt3OU09vwQwhkpOPPYv2Y/edit?usp=sharing"",""งบพรบ!DL61"")"),0)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IFERROR(__xludf.DUMMYFUNCTION("IMPORTRANGE(""https://docs.google.com/spreadsheets/d/1-uDff_7J0KD5mKrp0Vvzr7lt3OU09vwQwhkpOPPYv2Y/edit?usp=sharing"",""งบพรบ!DH61"")"),0)</f>
        <v>0</v>
      </c>
      <c r="M274" s="522">
        <f ca="1">IFERROR(__xludf.DUMMYFUNCTION("IMPORTRANGE(""https://docs.google.com/spreadsheets/d/1-uDff_7J0KD5mKrp0Vvzr7lt3OU09vwQwhkpOPPYv2Y/edit?usp=sharing"",""งบพรบ!DK61"")"),0)</f>
        <v>0</v>
      </c>
      <c r="N274" s="522">
        <f ca="1">IFERROR(__xludf.DUMMYFUNCTION("IMPORTRANGE(""https://docs.google.com/spreadsheets/d/1-uDff_7J0KD5mKrp0Vvzr7lt3OU09vwQwhkpOPPYv2Y/edit?usp=sharing"",""งบพรบ!DM61"")"),0)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IFERROR(__xludf.DUMMYFUNCTION("IMPORTRANGE(""https://docs.google.com/spreadsheets/d/1-uDff_7J0KD5mKrp0Vvzr7lt3OU09vwQwhkpOPPYv2Y/edit?usp=sharing"",""งบพรบ!DO61"")"),0)</f>
        <v>0</v>
      </c>
      <c r="M287" s="427">
        <f ca="1">IFERROR(__xludf.DUMMYFUNCTION("IMPORTRANGE(""https://docs.google.com/spreadsheets/d/1-uDff_7J0KD5mKrp0Vvzr7lt3OU09vwQwhkpOPPYv2Y/edit?usp=sharing"",""งบพรบ!DT61"")"),0)</f>
        <v>0</v>
      </c>
      <c r="N287" s="427">
        <f ca="1">IFERROR(__xludf.DUMMYFUNCTION("IMPORTRANGE(""https://docs.google.com/spreadsheets/d/1-uDff_7J0KD5mKrp0Vvzr7lt3OU09vwQwhkpOPPYv2Y/edit?usp=sharing"",""งบพรบ!DV61"")"),0)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IFERROR(__xludf.DUMMYFUNCTION("IMPORTRANGE(""https://docs.google.com/spreadsheets/d/1-uDff_7J0KD5mKrp0Vvzr7lt3OU09vwQwhkpOPPYv2Y/edit?usp=sharing"",""งบพรบ!DR61"")"),0)</f>
        <v>0</v>
      </c>
      <c r="M290" s="427">
        <f ca="1">IFERROR(__xludf.DUMMYFUNCTION("IMPORTRANGE(""https://docs.google.com/spreadsheets/d/1-uDff_7J0KD5mKrp0Vvzr7lt3OU09vwQwhkpOPPYv2Y/edit?usp=sharing"",""งบพรบ!DU61"")"),0)</f>
        <v>0</v>
      </c>
      <c r="N290" s="427">
        <f ca="1">IFERROR(__xludf.DUMMYFUNCTION("IMPORTRANGE(""https://docs.google.com/spreadsheets/d/1-uDff_7J0KD5mKrp0Vvzr7lt3OU09vwQwhkpOPPYv2Y/edit?usp=sharing"",""งบพรบ!DW61"")"),0)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IFERROR(__xludf.DUMMYFUNCTION("IMPORTRANGE(""https://docs.google.com/spreadsheets/d/1eHaY18a8A9IcSdp1K8H6x8fbOy06t2VsZHhMHf-1x7Y/edit?usp=sharing"",""แผน!EE61"")"),0)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IFERROR(__xludf.DUMMYFUNCTION("IMPORTRANGE(""https://docs.google.com/spreadsheets/d/1eHaY18a8A9IcSdp1K8H6x8fbOy06t2VsZHhMHf-1x7Y/edit?usp=sharing"",""แผน!ED61"")"),0)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IFERROR(__xludf.DUMMYFUNCTION("IMPORTRANGE(""https://docs.google.com/spreadsheets/d/1eHaY18a8A9IcSdp1K8H6x8fbOy06t2VsZHhMHf-1x7Y/edit?usp=sharing"",""แผน!ED61"")"),0)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IFERROR(__xludf.DUMMYFUNCTION("IMPORTRANGE(""https://docs.google.com/spreadsheets/d/1eHaY18a8A9IcSdp1K8H6x8fbOy06t2VsZHhMHf-1x7Y/edit?usp=sharing"",""แผน!ED61"")"),0)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IFERROR(__xludf.DUMMYFUNCTION("IMPORTRANGE(""https://docs.google.com/spreadsheets/d/1-uDff_7J0KD5mKrp0Vvzr7lt3OU09vwQwhkpOPPYv2Y/edit?usp=sharing"",""งบพรบ!DY61"")"),0)</f>
        <v>0</v>
      </c>
      <c r="M308" s="427">
        <f ca="1">IFERROR(__xludf.DUMMYFUNCTION("IMPORTRANGE(""https://docs.google.com/spreadsheets/d/1-uDff_7J0KD5mKrp0Vvzr7lt3OU09vwQwhkpOPPYv2Y/edit?usp=sharing"",""งบพรบ!ED61"")"),0)</f>
        <v>0</v>
      </c>
      <c r="N308" s="427">
        <f ca="1">IFERROR(__xludf.DUMMYFUNCTION("IMPORTRANGE(""https://docs.google.com/spreadsheets/d/1-uDff_7J0KD5mKrp0Vvzr7lt3OU09vwQwhkpOPPYv2Y/edit?usp=sharing"",""งบพรบ!EF61"")"),0)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IFERROR(__xludf.DUMMYFUNCTION("IMPORTRANGE(""https://docs.google.com/spreadsheets/d/1-uDff_7J0KD5mKrp0Vvzr7lt3OU09vwQwhkpOPPYv2Y/edit?usp=sharing"",""งบพรบ!EB61"")"),0)</f>
        <v>0</v>
      </c>
      <c r="M311" s="427">
        <f ca="1">IFERROR(__xludf.DUMMYFUNCTION("IMPORTRANGE(""https://docs.google.com/spreadsheets/d/1-uDff_7J0KD5mKrp0Vvzr7lt3OU09vwQwhkpOPPYv2Y/edit?usp=sharing"",""งบพรบ!EE61"")"),0)</f>
        <v>0</v>
      </c>
      <c r="N311" s="427">
        <f ca="1">IFERROR(__xludf.DUMMYFUNCTION("IMPORTRANGE(""https://docs.google.com/spreadsheets/d/1-uDff_7J0KD5mKrp0Vvzr7lt3OU09vwQwhkpOPPYv2Y/edit?usp=sharing"",""งบพรบ!EG61"")"),0)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IFERROR(__xludf.DUMMYFUNCTION("IMPORTRANGE(""https://docs.google.com/spreadsheets/d/1eHaY18a8A9IcSdp1K8H6x8fbOy06t2VsZHhMHf-1x7Y/edit?usp=sharing"",""แผน!EF61"")"),0)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IFERROR(__xludf.DUMMYFUNCTION("IMPORTRANGE(""https://docs.google.com/spreadsheets/d/1eHaY18a8A9IcSdp1K8H6x8fbOy06t2VsZHhMHf-1x7Y/edit?usp=sharing"",""แผน!EG61"")"),0)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IFERROR(__xludf.DUMMYFUNCTION("IMPORTRANGE(""https://docs.google.com/spreadsheets/d/1eHaY18a8A9IcSdp1K8H6x8fbOy06t2VsZHhMHf-1x7Y/edit?usp=sharing"",""แผน!EH61"")"),0)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IFERROR(__xludf.DUMMYFUNCTION("IMPORTRANGE(""https://docs.google.com/spreadsheets/d/1eHaY18a8A9IcSdp1K8H6x8fbOy06t2VsZHhMHf-1x7Y/edit?usp=sharing"",""แผน!EI61"")"),0)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IFERROR(__xludf.DUMMYFUNCTION("IMPORTRANGE(""https://docs.google.com/spreadsheets/d/1-uDff_7J0KD5mKrp0Vvzr7lt3OU09vwQwhkpOPPYv2Y/edit?usp=sharing"",""งบพรบ!EI61"")"),0)</f>
        <v>0</v>
      </c>
      <c r="M325" s="427">
        <f ca="1">IFERROR(__xludf.DUMMYFUNCTION("IMPORTRANGE(""https://docs.google.com/spreadsheets/d/1-uDff_7J0KD5mKrp0Vvzr7lt3OU09vwQwhkpOPPYv2Y/edit?usp=sharing"",""งบพรบ!EN61"")"),0)</f>
        <v>0</v>
      </c>
      <c r="N325" s="427">
        <f ca="1">IFERROR(__xludf.DUMMYFUNCTION("IMPORTRANGE(""https://docs.google.com/spreadsheets/d/1-uDff_7J0KD5mKrp0Vvzr7lt3OU09vwQwhkpOPPYv2Y/edit?usp=sharing"",""งบพรบ!EP61"")"),0)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IFERROR(__xludf.DUMMYFUNCTION("IMPORTRANGE(""https://docs.google.com/spreadsheets/d/1-uDff_7J0KD5mKrp0Vvzr7lt3OU09vwQwhkpOPPYv2Y/edit?usp=sharing"",""งบพรบ!EL61"")"),0)</f>
        <v>0</v>
      </c>
      <c r="M328" s="427">
        <f ca="1">IFERROR(__xludf.DUMMYFUNCTION("IMPORTRANGE(""https://docs.google.com/spreadsheets/d/1-uDff_7J0KD5mKrp0Vvzr7lt3OU09vwQwhkpOPPYv2Y/edit?usp=sharing"",""งบพรบ!EO61"")"),0)</f>
        <v>0</v>
      </c>
      <c r="N328" s="427">
        <f ca="1">IFERROR(__xludf.DUMMYFUNCTION("IMPORTRANGE(""https://docs.google.com/spreadsheets/d/1-uDff_7J0KD5mKrp0Vvzr7lt3OU09vwQwhkpOPPYv2Y/edit?usp=sharing"",""งบพรบ!EQ61"")"),0)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IFERROR(__xludf.DUMMYFUNCTION("IMPORTRANGE(""https://docs.google.com/spreadsheets/d/1eHaY18a8A9IcSdp1K8H6x8fbOy06t2VsZHhMHf-1x7Y/edit?usp=sharing"",""แผน!EJ61"")"),0)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940</v>
      </c>
      <c r="J332" s="404">
        <f ca="1">J344+J347+J348+J349+J353</f>
        <v>131</v>
      </c>
      <c r="K332" s="405">
        <f ca="1">IF(I332&gt;0,J332*100/I332,0)</f>
        <v>13.936170212765957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337200</v>
      </c>
      <c r="M333" s="737">
        <f ca="1">M334+M335</f>
        <v>244750</v>
      </c>
      <c r="N333" s="737">
        <f ca="1">N334+N335</f>
        <v>97649.97</v>
      </c>
      <c r="O333" s="737">
        <f ca="1">IF(L333&gt;0,N333*100/L333,0)</f>
        <v>28.959065836298933</v>
      </c>
      <c r="P333" s="737">
        <f ca="1">IF(M333&gt;0,N333*100/M333,0)</f>
        <v>39.897842696629212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337200</v>
      </c>
      <c r="M335" s="427">
        <f ca="1">M338+M341</f>
        <v>244750</v>
      </c>
      <c r="N335" s="427">
        <f ca="1">N338+N341</f>
        <v>97649.97</v>
      </c>
      <c r="O335" s="427">
        <f ca="1">IF(L335&gt;0,N335*100/L335,0)</f>
        <v>28.959065836298933</v>
      </c>
      <c r="P335" s="427">
        <f ca="1">IF(M335&gt;0,N335*100/M335,0)</f>
        <v>39.897842696629212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337200</v>
      </c>
      <c r="M336" s="427">
        <f ca="1">M337+M338</f>
        <v>244750</v>
      </c>
      <c r="N336" s="427">
        <f ca="1">N337+N338</f>
        <v>97649.97</v>
      </c>
      <c r="O336" s="427">
        <f ca="1">IF(L336&gt;0,N336*100/L336,0)</f>
        <v>28.959065836298933</v>
      </c>
      <c r="P336" s="427">
        <f ca="1">IF(M336&gt;0,N336*100/M336,0)</f>
        <v>39.897842696629212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IFERROR(__xludf.DUMMYFUNCTION("IMPORTRANGE(""https://docs.google.com/spreadsheets/d/1-uDff_7J0KD5mKrp0Vvzr7lt3OU09vwQwhkpOPPYv2Y/edit?usp=sharing"",""งบพรบ!ES61"")"),337200)</f>
        <v>337200</v>
      </c>
      <c r="M338" s="427">
        <f ca="1">IFERROR(__xludf.DUMMYFUNCTION("IMPORTRANGE(""https://docs.google.com/spreadsheets/d/1-uDff_7J0KD5mKrp0Vvzr7lt3OU09vwQwhkpOPPYv2Y/edit?usp=sharing"",""งบพรบ!EX61"")"),244750)</f>
        <v>244750</v>
      </c>
      <c r="N338" s="427">
        <f ca="1">IFERROR(__xludf.DUMMYFUNCTION("IMPORTRANGE(""https://docs.google.com/spreadsheets/d/1-uDff_7J0KD5mKrp0Vvzr7lt3OU09vwQwhkpOPPYv2Y/edit?usp=sharing"",""งบพรบ!EZ61"")"),97649.97)</f>
        <v>97649.97</v>
      </c>
      <c r="O338" s="427">
        <f ca="1">IF(L338&gt;0,N338*100/L338,0)</f>
        <v>28.959065836298933</v>
      </c>
      <c r="P338" s="427">
        <f ca="1">IF(M338&gt;0,N338*100/M338,0)</f>
        <v>39.897842696629212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IFERROR(__xludf.DUMMYFUNCTION("IMPORTRANGE(""https://docs.google.com/spreadsheets/d/1-uDff_7J0KD5mKrp0Vvzr7lt3OU09vwQwhkpOPPYv2Y/edit?usp=sharing"",""งบพรบ!EV61"")"),0)</f>
        <v>0</v>
      </c>
      <c r="M341" s="427">
        <f ca="1">IFERROR(__xludf.DUMMYFUNCTION("IMPORTRANGE(""https://docs.google.com/spreadsheets/d/1-uDff_7J0KD5mKrp0Vvzr7lt3OU09vwQwhkpOPPYv2Y/edit?usp=sharing"",""งบพรบ!EY61"")"),0)</f>
        <v>0</v>
      </c>
      <c r="N341" s="427">
        <f ca="1">IFERROR(__xludf.DUMMYFUNCTION("IMPORTRANGE(""https://docs.google.com/spreadsheets/d/1-uDff_7J0KD5mKrp0Vvzr7lt3OU09vwQwhkpOPPYv2Y/edit?usp=sharing"",""งบพรบ!FA61"")"),0)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131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IFERROR(__xludf.DUMMYFUNCTION("IMPORTRANGE(""https://docs.google.com/spreadsheets/d/1eHaY18a8A9IcSdp1K8H6x8fbOy06t2VsZHhMHf-1x7Y/edit?usp=sharing"",""แผน!EK61"")"),940)</f>
        <v>940</v>
      </c>
      <c r="J344" s="426">
        <f ca="1">IFERROR(__xludf.DUMMYFUNCTION("IMPORTRANGE(""https://docs.google.com/spreadsheets/d/1awYsYK3VOup2i3Pq_Yjnu8DRu_mYwSBnCR2QPthd0rU/edit?usp=sharing"",""ศูนย์ยกเว้นโฉนด!D61"")"),112)</f>
        <v>112</v>
      </c>
      <c r="K344" s="427">
        <f ca="1">IF(I344&gt;0,J344*100/I344,0)</f>
        <v>11.914893617021276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IFERROR(__xludf.DUMMYFUNCTION("IMPORTRANGE(""https://docs.google.com/spreadsheets/d/1eHaY18a8A9IcSdp1K8H6x8fbOy06t2VsZHhMHf-1x7Y/edit?usp=sharing"",""แผน!EL61"")"),1)</f>
        <v>1</v>
      </c>
      <c r="J346" s="426">
        <f ca="1">IFERROR(__xludf.DUMMYFUNCTION("IMPORTRANGE(""https://docs.google.com/spreadsheets/d/1awYsYK3VOup2i3Pq_Yjnu8DRu_mYwSBnCR2QPthd0rU/edit?usp=sharing"",""ศูนย์รวม!E61"")"),0)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IFERROR(__xludf.DUMMYFUNCTION("IMPORTRANGE(""https://docs.google.com/spreadsheets/d/1awYsYK3VOup2i3Pq_Yjnu8DRu_mYwSBnCR2QPthd0rU/edit?usp=sharing"",""ศูนย์ยกเว้นโฉนด!F61"")"),0)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IFERROR(__xludf.DUMMYFUNCTION("IMPORTRANGE(""https://docs.google.com/spreadsheets/d/1awYsYK3VOup2i3Pq_Yjnu8DRu_mYwSBnCR2QPthd0rU/edit?usp=sharing"",""ศูนย์ยกเว้นโฉนด!G61"")"),19)</f>
        <v>19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IFERROR(__xludf.DUMMYFUNCTION("IMPORTRANGE(""https://docs.google.com/spreadsheets/d/1awYsYK3VOup2i3Pq_Yjnu8DRu_mYwSBnCR2QPthd0rU/edit?usp=sharing"",""ศูนย์ยกเว้นโฉนด!H61"")"),0)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IFERROR(__xludf.DUMMYFUNCTION("IMPORTRANGE(""https://docs.google.com/spreadsheets/d/1awYsYK3VOup2i3Pq_Yjnu8DRu_mYwSBnCR2QPthd0rU/edit?usp=sharing"",""โฉนดM3!G61"")"),0)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IFERROR(__xludf.DUMMYFUNCTION("IMPORTRANGE(""https://docs.google.com/spreadsheets/d/1awYsYK3VOup2i3Pq_Yjnu8DRu_mYwSBnCR2QPthd0rU/edit?usp=sharing"",""โฉนดM3!H61"")"),0)</f>
        <v>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116090</v>
      </c>
      <c r="M356" s="737">
        <f ca="1">M357+M358</f>
        <v>90090</v>
      </c>
      <c r="N356" s="737">
        <f ca="1">N357+N358</f>
        <v>19000</v>
      </c>
      <c r="O356" s="737">
        <f ca="1">IF(L356&gt;0,N356*100/L356,0)</f>
        <v>16.366612111292962</v>
      </c>
      <c r="P356" s="737">
        <f ca="1">IF(M356&gt;0,N356*100/M356,0)</f>
        <v>21.090021090021089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116090</v>
      </c>
      <c r="M358" s="427">
        <f ca="1">M361+M364</f>
        <v>90090</v>
      </c>
      <c r="N358" s="427">
        <f ca="1">N361+N364</f>
        <v>19000</v>
      </c>
      <c r="O358" s="427">
        <f ca="1">IF(L358&gt;0,N358*100/L358,0)</f>
        <v>16.366612111292962</v>
      </c>
      <c r="P358" s="427">
        <f ca="1">IF(M358&gt;0,N358*100/M358,0)</f>
        <v>21.090021090021089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116090</v>
      </c>
      <c r="M359" s="427">
        <f ca="1">M360+M361</f>
        <v>90090</v>
      </c>
      <c r="N359" s="427">
        <f ca="1">N360+N361</f>
        <v>19000</v>
      </c>
      <c r="O359" s="427">
        <f ca="1">IF(L359&gt;0,N359*100/L359,0)</f>
        <v>16.366612111292962</v>
      </c>
      <c r="P359" s="427">
        <f ca="1">IF(M359&gt;0,N359*100/M359,0)</f>
        <v>21.090021090021089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IFERROR(__xludf.DUMMYFUNCTION("IMPORTRANGE(""https://docs.google.com/spreadsheets/d/1-uDff_7J0KD5mKrp0Vvzr7lt3OU09vwQwhkpOPPYv2Y/edit?usp=sharing"",""งบพรบ!FC61"")"),116090)</f>
        <v>116090</v>
      </c>
      <c r="M361" s="427">
        <f ca="1">IFERROR(__xludf.DUMMYFUNCTION("IMPORTRANGE(""https://docs.google.com/spreadsheets/d/1-uDff_7J0KD5mKrp0Vvzr7lt3OU09vwQwhkpOPPYv2Y/edit?usp=sharing"",""งบพรบ!FH61"")"),90090)</f>
        <v>90090</v>
      </c>
      <c r="N361" s="427">
        <f ca="1">IFERROR(__xludf.DUMMYFUNCTION("IMPORTRANGE(""https://docs.google.com/spreadsheets/d/1-uDff_7J0KD5mKrp0Vvzr7lt3OU09vwQwhkpOPPYv2Y/edit?usp=sharing"",""งบพรบ!FJ61"")"),19000)</f>
        <v>19000</v>
      </c>
      <c r="O361" s="427">
        <f ca="1">IF(L361&gt;0,N361*100/L361,0)</f>
        <v>16.366612111292962</v>
      </c>
      <c r="P361" s="427">
        <f ca="1">IF(M361&gt;0,N361*100/M361,0)</f>
        <v>21.090021090021089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IFERROR(__xludf.DUMMYFUNCTION("IMPORTRANGE(""https://docs.google.com/spreadsheets/d/1-uDff_7J0KD5mKrp0Vvzr7lt3OU09vwQwhkpOPPYv2Y/edit?usp=sharing"",""งบพรบ!FF61"")"),0)</f>
        <v>0</v>
      </c>
      <c r="M364" s="427">
        <f ca="1">IFERROR(__xludf.DUMMYFUNCTION("IMPORTRANGE(""https://docs.google.com/spreadsheets/d/1-uDff_7J0KD5mKrp0Vvzr7lt3OU09vwQwhkpOPPYv2Y/edit?usp=sharing"",""งบพรบ!FI61"")"),0)</f>
        <v>0</v>
      </c>
      <c r="N364" s="427">
        <f ca="1">IFERROR(__xludf.DUMMYFUNCTION("IMPORTRANGE(""https://docs.google.com/spreadsheets/d/1-uDff_7J0KD5mKrp0Vvzr7lt3OU09vwQwhkpOPPYv2Y/edit?usp=sharing"",""งบพรบ!FK61"")"),0)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0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IFERROR(__xludf.DUMMYFUNCTION("IMPORTRANGE(""https://docs.google.com/spreadsheets/d/1tdoBKaGub7dwA3U6UFTqxio9LNnvDCQjHKmttSEBsFQ/edit?usp=sharing"",""จัดที่ดิน!AB61"")"),0)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IFERROR(__xludf.DUMMYFUNCTION("IMPORTRANGE(""https://docs.google.com/spreadsheets/d/1eHaY18a8A9IcSdp1K8H6x8fbOy06t2VsZHhMHf-1x7Y/edit?usp=sharing"",""แผน!EW61"")"),0)</f>
        <v>0</v>
      </c>
      <c r="J368" s="726">
        <f ca="1">IFERROR(__xludf.DUMMYFUNCTION("IMPORTRANGE(""https://docs.google.com/spreadsheets/d/1tdoBKaGub7dwA3U6UFTqxio9LNnvDCQjHKmttSEBsFQ/edit?usp=sharing"",""จัดที่ดิน!AC61"")"),0)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IFERROR(__xludf.DUMMYFUNCTION("IMPORTRANGE(""https://docs.google.com/spreadsheets/d/1eHaY18a8A9IcSdp1K8H6x8fbOy06t2VsZHhMHf-1x7Y/edit?usp=sharing"",""แผน!EX61"")"),0)</f>
        <v>0</v>
      </c>
      <c r="J369" s="426">
        <f ca="1">IFERROR(__xludf.DUMMYFUNCTION("IMPORTRANGE(""https://docs.google.com/spreadsheets/d/1tdoBKaGub7dwA3U6UFTqxio9LNnvDCQjHKmttSEBsFQ/edit?usp=sharing"",""จัดที่ดิน!AD61"")"),0)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IFERROR(__xludf.DUMMYFUNCTION("IMPORTRANGE(""https://docs.google.com/spreadsheets/d/1tdoBKaGub7dwA3U6UFTqxio9LNnvDCQjHKmttSEBsFQ/edit?usp=sharing"",""จัดที่ดิน!AE61"")"),0)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IFERROR(__xludf.DUMMYFUNCTION("IMPORTRANGE(""https://docs.google.com/spreadsheets/d/1eHaY18a8A9IcSdp1K8H6x8fbOy06t2VsZHhMHf-1x7Y/edit?usp=sharing"",""แผน!EY61"")"),0)</f>
        <v>0</v>
      </c>
      <c r="J371" s="426">
        <f ca="1">IFERROR(__xludf.DUMMYFUNCTION("IMPORTRANGE(""https://docs.google.com/spreadsheets/d/1tdoBKaGub7dwA3U6UFTqxio9LNnvDCQjHKmttSEBsFQ/edit?usp=sharing"",""จัดที่ดิน!AF61"")"),0)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IFERROR(__xludf.DUMMYFUNCTION("IMPORTRANGE(""https://docs.google.com/spreadsheets/d/1tdoBKaGub7dwA3U6UFTqxio9LNnvDCQjHKmttSEBsFQ/edit?usp=sharing"",""จัดที่ดิน!AG61"")"),0)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IFERROR(__xludf.DUMMYFUNCTION("IMPORTRANGE(""https://docs.google.com/spreadsheets/d/1-uDff_7J0KD5mKrp0Vvzr7lt3OU09vwQwhkpOPPYv2Y/edit?usp=sharing"",""งบพรบ!FM61"")"),0)</f>
        <v>0</v>
      </c>
      <c r="M382" s="522">
        <f ca="1">IFERROR(__xludf.DUMMYFUNCTION("IMPORTRANGE(""https://docs.google.com/spreadsheets/d/1-uDff_7J0KD5mKrp0Vvzr7lt3OU09vwQwhkpOPPYv2Y/edit?usp=sharing"",""งบพรบ!FR61"")"),0)</f>
        <v>0</v>
      </c>
      <c r="N382" s="522">
        <f ca="1">IFERROR(__xludf.DUMMYFUNCTION("IMPORTRANGE(""https://docs.google.com/spreadsheets/d/1-uDff_7J0KD5mKrp0Vvzr7lt3OU09vwQwhkpOPPYv2Y/edit?usp=sharing"",""งบพรบ!FT61"")"),0)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IFERROR(__xludf.DUMMYFUNCTION("IMPORTRANGE(""https://docs.google.com/spreadsheets/d/1-uDff_7J0KD5mKrp0Vvzr7lt3OU09vwQwhkpOPPYv2Y/edit?usp=sharing"",""งบพรบ!FP61"")"),0)</f>
        <v>0</v>
      </c>
      <c r="M385" s="522">
        <f ca="1">IFERROR(__xludf.DUMMYFUNCTION("IMPORTRANGE(""https://docs.google.com/spreadsheets/d/1-uDff_7J0KD5mKrp0Vvzr7lt3OU09vwQwhkpOPPYv2Y/edit?usp=sharing"",""งบพรบ!FS61"")"),0)</f>
        <v>0</v>
      </c>
      <c r="N385" s="522">
        <f ca="1">IFERROR(__xludf.DUMMYFUNCTION("IMPORTRANGE(""https://docs.google.com/spreadsheets/d/1-uDff_7J0KD5mKrp0Vvzr7lt3OU09vwQwhkpOPPYv2Y/edit?usp=sharing"",""งบพรบ!FU61"")"),0)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F9EB8-D273-4F3E-9EEC-0C555736D750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173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1209180</v>
      </c>
      <c r="M18" s="865">
        <f ca="1">M19+M20</f>
        <v>970880</v>
      </c>
      <c r="N18" s="865">
        <f ca="1">N19+N20</f>
        <v>390009.91000000003</v>
      </c>
      <c r="O18" s="865">
        <f ca="1">IF(L18&gt;0,N18*100/L18,0)</f>
        <v>32.254082105228335</v>
      </c>
      <c r="P18" s="865">
        <f ca="1">IF(M18&gt;0,N18*100/M18,0)</f>
        <v>40.170763637112721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1209180</v>
      </c>
      <c r="M20" s="972">
        <f ca="1">M23+M26</f>
        <v>970880</v>
      </c>
      <c r="N20" s="972">
        <f ca="1">N23+N26</f>
        <v>390009.91000000003</v>
      </c>
      <c r="O20" s="972">
        <f ca="1">IF(L20&gt;0,N20*100/L20,0)</f>
        <v>32.254082105228335</v>
      </c>
      <c r="P20" s="972">
        <f ca="1">IF(M20&gt;0,N20*100/M20,0)</f>
        <v>40.170763637112721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1209180</v>
      </c>
      <c r="M21" s="427">
        <f ca="1">M22+M23</f>
        <v>970880</v>
      </c>
      <c r="N21" s="427">
        <f ca="1">N22+N23</f>
        <v>390009.91000000003</v>
      </c>
      <c r="O21" s="427">
        <f ca="1">IF(L21&gt;0,N21*100/L21,0)</f>
        <v>32.254082105228335</v>
      </c>
      <c r="P21" s="427">
        <f ca="1">IF(M21&gt;0,N21*100/M21,0)</f>
        <v>40.170763637112721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1209180</v>
      </c>
      <c r="M23" s="427">
        <f ca="1">M49+M64+M77+M99+M130+M144+M162+M191+M178+M271+M287+M308+M325+M338+M361+M382</f>
        <v>970880</v>
      </c>
      <c r="N23" s="427">
        <f ca="1">N49+N64+N77+N99+N130+N144+N162+N191+N178+N271+N287+N308+N325+N338+N361+N382</f>
        <v>390009.91000000003</v>
      </c>
      <c r="O23" s="427">
        <f ca="1">IF(L23&gt;0,N23*100/L23,0)</f>
        <v>32.254082105228335</v>
      </c>
      <c r="P23" s="427">
        <f ca="1">IF(M23&gt;0,N23*100/M23,0)</f>
        <v>40.170763637112721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71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1209180</v>
      </c>
      <c r="M40" s="964">
        <f ca="1">M44+M59+M72+M94+M125+M139+M157+M173+M186+M266+M282+M303+M320+M333+M356</f>
        <v>970880</v>
      </c>
      <c r="N40" s="964">
        <f ca="1">N44+N59+N72+N94+N125+N139+N157+N173+N186+N266+N282+N303+N320+N333+N356</f>
        <v>390009.91000000003</v>
      </c>
      <c r="O40" s="964">
        <f ca="1">IF(L40&gt;0,N40*100/L40,0)</f>
        <v>32.254082105228335</v>
      </c>
      <c r="P40" s="964">
        <f ca="1">IF(M40&gt;0,N40*100/M40,0)</f>
        <v>40.170763637112721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192600</v>
      </c>
      <c r="M44" s="949">
        <f ca="1">M45+M46</f>
        <v>197100</v>
      </c>
      <c r="N44" s="949">
        <f ca="1">N45+N46</f>
        <v>98100</v>
      </c>
      <c r="O44" s="949">
        <f ca="1">IF(L44&gt;0,N44*100/L44,0)</f>
        <v>50.934579439252339</v>
      </c>
      <c r="P44" s="949">
        <f ca="1">IF(M44&gt;0,N44*100/M44,0)</f>
        <v>49.771689497716892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192600</v>
      </c>
      <c r="M46" s="941">
        <f ca="1">M49+M52</f>
        <v>197100</v>
      </c>
      <c r="N46" s="941">
        <f ca="1">N49+N52</f>
        <v>98100</v>
      </c>
      <c r="O46" s="941">
        <f ca="1">IF(L46&gt;0,N46*100/L46,0)</f>
        <v>50.934579439252339</v>
      </c>
      <c r="P46" s="941">
        <f ca="1">IF(M46&gt;0,N46*100/M46,0)</f>
        <v>49.771689497716892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192600</v>
      </c>
      <c r="M47" s="427">
        <f ca="1">M48+M49</f>
        <v>197100</v>
      </c>
      <c r="N47" s="427">
        <f ca="1">N48+N49</f>
        <v>98100</v>
      </c>
      <c r="O47" s="427">
        <f ca="1">IF(L47&gt;0,N47*100/L47,0)</f>
        <v>50.934579439252339</v>
      </c>
      <c r="P47" s="427">
        <f ca="1">IF(M47&gt;0,N47*100/M47,0)</f>
        <v>49.771689497716892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IFERROR(__xludf.DUMMYFUNCTION("IMPORTRANGE(""https://docs.google.com/spreadsheets/d/1-uDff_7J0KD5mKrp0Vvzr7lt3OU09vwQwhkpOPPYv2Y/edit?usp=sharing"",""งบพรบ!P62"")"),192600)</f>
        <v>192600</v>
      </c>
      <c r="M49" s="427">
        <f ca="1">IFERROR(__xludf.DUMMYFUNCTION("IMPORTRANGE(""https://docs.google.com/spreadsheets/d/1-uDff_7J0KD5mKrp0Vvzr7lt3OU09vwQwhkpOPPYv2Y/edit?usp=sharing"",""งบพรบ!V62"")"),197100)</f>
        <v>197100</v>
      </c>
      <c r="N49" s="427">
        <f ca="1">IFERROR(__xludf.DUMMYFUNCTION("IMPORTRANGE(""https://docs.google.com/spreadsheets/d/1-uDff_7J0KD5mKrp0Vvzr7lt3OU09vwQwhkpOPPYv2Y/edit?usp=sharing"",""งบพรบ!Y62"")"),98100)</f>
        <v>98100</v>
      </c>
      <c r="O49" s="427">
        <f ca="1">IF(L49&gt;0,N49*100/L49,0)</f>
        <v>50.934579439252339</v>
      </c>
      <c r="P49" s="427">
        <f ca="1">IF(M49&gt;0,N49*100/M49,0)</f>
        <v>49.771689497716892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IFERROR(__xludf.DUMMYFUNCTION("IMPORTRANGE(""https://docs.google.com/spreadsheets/d/1-uDff_7J0KD5mKrp0Vvzr7lt3OU09vwQwhkpOPPYv2Y/edit?usp=sharing"",""งบพรบ!S62"")"),0)</f>
        <v>0</v>
      </c>
      <c r="M52" s="427">
        <f ca="1">IFERROR(__xludf.DUMMYFUNCTION("IMPORTRANGE(""https://docs.google.com/spreadsheets/d/1-uDff_7J0KD5mKrp0Vvzr7lt3OU09vwQwhkpOPPYv2Y/edit?usp=sharing"",""งบพรบ!W62"")"),0)</f>
        <v>0</v>
      </c>
      <c r="N52" s="427">
        <f ca="1">IFERROR(__xludf.DUMMYFUNCTION("IMPORTRANGE(""https://docs.google.com/spreadsheets/d/1-uDff_7J0KD5mKrp0Vvzr7lt3OU09vwQwhkpOPPYv2Y/edit?usp=sharing"",""งบพรบ!Z62"")"),0)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393200</v>
      </c>
      <c r="M59" s="921">
        <f ca="1">M60+M61</f>
        <v>296850</v>
      </c>
      <c r="N59" s="921">
        <f ca="1">N60+N61</f>
        <v>223891.57</v>
      </c>
      <c r="O59" s="921">
        <f ca="1">IF(L59&gt;0,N59*100/L59,0)</f>
        <v>56.940887589013222</v>
      </c>
      <c r="P59" s="921">
        <f ca="1">IF(M59&gt;0,N59*100/M59,0)</f>
        <v>75.422459154455112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393200</v>
      </c>
      <c r="M61" s="913">
        <f ca="1">M64+M67</f>
        <v>296850</v>
      </c>
      <c r="N61" s="913">
        <f ca="1">N64+N67</f>
        <v>223891.57</v>
      </c>
      <c r="O61" s="913">
        <f ca="1">IF(L61&gt;0,N61*100/L61,0)</f>
        <v>56.940887589013222</v>
      </c>
      <c r="P61" s="913">
        <f ca="1">IF(M61&gt;0,N61*100/M61,0)</f>
        <v>75.422459154455112</v>
      </c>
    </row>
    <row r="62" spans="1:16" ht="18.75" x14ac:dyDescent="0.25">
      <c r="A62" s="419"/>
      <c r="B62" s="421"/>
      <c r="C62" s="421"/>
      <c r="D62" s="902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393200</v>
      </c>
      <c r="M62" s="427">
        <f ca="1">M63+M64</f>
        <v>296850</v>
      </c>
      <c r="N62" s="427">
        <f ca="1">N63+N64</f>
        <v>223891.57</v>
      </c>
      <c r="O62" s="427">
        <f ca="1">IF(L62&gt;0,N62*100/L62,0)</f>
        <v>56.940887589013222</v>
      </c>
      <c r="P62" s="427">
        <f ca="1">IF(M62&gt;0,N62*100/M62,0)</f>
        <v>75.422459154455112</v>
      </c>
    </row>
    <row r="63" spans="1:16" ht="18.75" hidden="1" x14ac:dyDescent="0.25">
      <c r="A63" s="419"/>
      <c r="B63" s="420"/>
      <c r="C63" s="421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706"/>
      <c r="B64" s="420"/>
      <c r="C64" s="420"/>
      <c r="D64" s="421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IFERROR(__xludf.DUMMYFUNCTION("IMPORTRANGE(""https://docs.google.com/spreadsheets/d/1-uDff_7J0KD5mKrp0Vvzr7lt3OU09vwQwhkpOPPYv2Y/edit?usp=sharing"",""งบพรบ!AC62"")"),393200)</f>
        <v>393200</v>
      </c>
      <c r="M64" s="427">
        <f ca="1">IFERROR(__xludf.DUMMYFUNCTION("IMPORTRANGE(""https://docs.google.com/spreadsheets/d/1-uDff_7J0KD5mKrp0Vvzr7lt3OU09vwQwhkpOPPYv2Y/edit?usp=sharing"",""งบพรบ!AH62"")"),296850)</f>
        <v>296850</v>
      </c>
      <c r="N64" s="427">
        <f ca="1">IFERROR(__xludf.DUMMYFUNCTION("IMPORTRANGE(""https://docs.google.com/spreadsheets/d/1-uDff_7J0KD5mKrp0Vvzr7lt3OU09vwQwhkpOPPYv2Y/edit?usp=sharing"",""งบพรบ!AJ62"")"),223891.57)</f>
        <v>223891.57</v>
      </c>
      <c r="O64" s="427">
        <f ca="1">IF(L64&gt;0,N64*100/L64,0)</f>
        <v>56.940887589013222</v>
      </c>
      <c r="P64" s="427">
        <f ca="1">IF(M64&gt;0,N64*100/M64,0)</f>
        <v>75.422459154455112</v>
      </c>
    </row>
    <row r="65" spans="1:16" ht="18.75" x14ac:dyDescent="0.25">
      <c r="A65" s="706"/>
      <c r="B65" s="420"/>
      <c r="C65" s="420"/>
      <c r="D65" s="902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706"/>
      <c r="B66" s="420"/>
      <c r="C66" s="420"/>
      <c r="D66" s="420"/>
      <c r="E66" s="540" t="s">
        <v>18</v>
      </c>
      <c r="F66" s="420"/>
      <c r="G66" s="424"/>
      <c r="H66" s="544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863"/>
      <c r="B67" s="649"/>
      <c r="C67" s="649"/>
      <c r="D67" s="649"/>
      <c r="E67" s="650" t="s">
        <v>19</v>
      </c>
      <c r="F67" s="649"/>
      <c r="G67" s="648"/>
      <c r="H67" s="912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IFERROR(__xludf.DUMMYFUNCTION("IMPORTRANGE(""https://docs.google.com/spreadsheets/d/1-uDff_7J0KD5mKrp0Vvzr7lt3OU09vwQwhkpOPPYv2Y/edit?usp=sharing"",""งบพรบ!AF62"")"),0)</f>
        <v>0</v>
      </c>
      <c r="M67" s="644">
        <f ca="1">IFERROR(__xludf.DUMMYFUNCTION("IMPORTRANGE(""https://docs.google.com/spreadsheets/d/1-uDff_7J0KD5mKrp0Vvzr7lt3OU09vwQwhkpOPPYv2Y/edit?usp=sharing"",""งบพรบ!AI62"")"),0)</f>
        <v>0</v>
      </c>
      <c r="N67" s="644">
        <f ca="1">IFERROR(__xludf.DUMMYFUNCTION("IMPORTRANGE(""https://docs.google.com/spreadsheets/d/1-uDff_7J0KD5mKrp0Vvzr7lt3OU09vwQwhkpOPPYv2Y/edit?usp=sharing"",""งบพรบ!AK62"")"),0)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09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4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880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880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1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1"/>
      <c r="C76" s="421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1"/>
      <c r="C77" s="421"/>
      <c r="D77" s="421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IFERROR(__xludf.DUMMYFUNCTION("IMPORTRANGE(""https://docs.google.com/spreadsheets/d/1-uDff_7J0KD5mKrp0Vvzr7lt3OU09vwQwhkpOPPYv2Y/edit?usp=sharing"",""งบพรบ!AM62"")"),0)</f>
        <v>0</v>
      </c>
      <c r="M77" s="427">
        <f ca="1">IFERROR(__xludf.DUMMYFUNCTION("IMPORTRANGE(""https://docs.google.com/spreadsheets/d/1-uDff_7J0KD5mKrp0Vvzr7lt3OU09vwQwhkpOPPYv2Y/edit?usp=sharing"",""งบพรบ!AR62"")"),0)</f>
        <v>0</v>
      </c>
      <c r="N77" s="427">
        <f ca="1">IFERROR(__xludf.DUMMYFUNCTION("IMPORTRANGE(""https://docs.google.com/spreadsheets/d/1-uDff_7J0KD5mKrp0Vvzr7lt3OU09vwQwhkpOPPYv2Y/edit?usp=sharing"",""งบพรบ!AT62"")"),0)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1"/>
      <c r="C78" s="421"/>
      <c r="D78" s="902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1"/>
      <c r="C79" s="421"/>
      <c r="D79" s="421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1"/>
      <c r="C80" s="421"/>
      <c r="D80" s="421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IFERROR(__xludf.DUMMYFUNCTION("IMPORTRANGE(""https://docs.google.com/spreadsheets/d/1-uDff_7J0KD5mKrp0Vvzr7lt3OU09vwQwhkpOPPYv2Y/edit?usp=sharing"",""งบพรบ!AP62"")"),0)</f>
        <v>0</v>
      </c>
      <c r="M80" s="427">
        <f ca="1">IFERROR(__xludf.DUMMYFUNCTION("IMPORTRANGE(""https://docs.google.com/spreadsheets/d/1-uDff_7J0KD5mKrp0Vvzr7lt3OU09vwQwhkpOPPYv2Y/edit?usp=sharing"",""งบพรบ!AS62"")"),0)</f>
        <v>0</v>
      </c>
      <c r="N80" s="427">
        <f ca="1">IFERROR(__xludf.DUMMYFUNCTION("IMPORTRANGE(""https://docs.google.com/spreadsheets/d/1-uDff_7J0KD5mKrp0Vvzr7lt3OU09vwQwhkpOPPYv2Y/edit?usp=sharing"",""งบพรบ!AU62"")"),0)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33" t="s">
        <v>16</v>
      </c>
      <c r="D81" s="732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31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IFERROR(__xludf.DUMMYFUNCTION("IMPORTRANGE(""https://docs.google.com/spreadsheets/d/1eHaY18a8A9IcSdp1K8H6x8fbOy06t2VsZHhMHf-1x7Y/edit?usp=sharing"",""แผน!H62"")"),0)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IFERROR(__xludf.DUMMYFUNCTION("IMPORTRANGE(""https://docs.google.com/spreadsheets/d/1eHaY18a8A9IcSdp1K8H6x8fbOy06t2VsZHhMHf-1x7Y/edit?usp=sharing"",""แผน!I62"")"),0)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IFERROR(__xludf.DUMMYFUNCTION("IMPORTRANGE(""https://docs.google.com/spreadsheets/d/1eHaY18a8A9IcSdp1K8H6x8fbOy06t2VsZHhMHf-1x7Y/edit?usp=sharing"",""แผน!F62"")"),0)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IFERROR(__xludf.DUMMYFUNCTION("IMPORTRANGE(""https://docs.google.com/spreadsheets/d/1eHaY18a8A9IcSdp1K8H6x8fbOy06t2VsZHhMHf-1x7Y/edit?usp=sharing"",""แผน!G62"")"),0)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27" t="s">
        <v>32</v>
      </c>
      <c r="I88" s="790">
        <f ca="1">IFERROR(__xludf.DUMMYFUNCTION("IMPORTRANGE(""https://docs.google.com/spreadsheets/d/1eHaY18a8A9IcSdp1K8H6x8fbOy06t2VsZHhMHf-1x7Y/edit?usp=sharing"",""แผน!D62"")"),0)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27" t="s">
        <v>33</v>
      </c>
      <c r="I89" s="790">
        <f ca="1">IFERROR(__xludf.DUMMYFUNCTION("IMPORTRANGE(""https://docs.google.com/spreadsheets/d/1eHaY18a8A9IcSdp1K8H6x8fbOy06t2VsZHhMHf-1x7Y/edit?usp=sharing"",""แผน!E62"")"),0)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36" t="s">
        <v>32</v>
      </c>
      <c r="I90" s="790">
        <f ca="1">IFERROR(__xludf.DUMMYFUNCTION("IMPORTRANGE(""https://docs.google.com/spreadsheets/d/1eHaY18a8A9IcSdp1K8H6x8fbOy06t2VsZHhMHf-1x7Y/edit?usp=sharing"",""แผน!J62"")"),0)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4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880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880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1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1"/>
      <c r="C98" s="421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1"/>
      <c r="C99" s="421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IFERROR(__xludf.DUMMYFUNCTION("IMPORTRANGE(""https://docs.google.com/spreadsheets/d/1-uDff_7J0KD5mKrp0Vvzr7lt3OU09vwQwhkpOPPYv2Y/edit?usp=sharing"",""งบพรบ!AW62"")"),0)</f>
        <v>0</v>
      </c>
      <c r="M99" s="427">
        <f ca="1">IFERROR(__xludf.DUMMYFUNCTION("IMPORTRANGE(""https://docs.google.com/spreadsheets/d/1-uDff_7J0KD5mKrp0Vvzr7lt3OU09vwQwhkpOPPYv2Y/edit?usp=sharing"",""งบพรบ!BB62"")"),0)</f>
        <v>0</v>
      </c>
      <c r="N99" s="427">
        <f ca="1">IFERROR(__xludf.DUMMYFUNCTION("IMPORTRANGE(""https://docs.google.com/spreadsheets/d/1-uDff_7J0KD5mKrp0Vvzr7lt3OU09vwQwhkpOPPYv2Y/edit?usp=sharing"",""งบพรบ!BD62"")"),0)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1"/>
      <c r="C100" s="421"/>
      <c r="D100" s="902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1"/>
      <c r="C101" s="421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1"/>
      <c r="C102" s="421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IFERROR(__xludf.DUMMYFUNCTION("IMPORTRANGE(""https://docs.google.com/spreadsheets/d/1-uDff_7J0KD5mKrp0Vvzr7lt3OU09vwQwhkpOPPYv2Y/edit?usp=sharing"",""งบพรบ!AZ62"")"),0)</f>
        <v>0</v>
      </c>
      <c r="M102" s="427">
        <f ca="1">IFERROR(__xludf.DUMMYFUNCTION("IMPORTRANGE(""https://docs.google.com/spreadsheets/d/1-uDff_7J0KD5mKrp0Vvzr7lt3OU09vwQwhkpOPPYv2Y/edit?usp=sharing"",""งบพรบ!BC62"")"),0)</f>
        <v>0</v>
      </c>
      <c r="N102" s="427">
        <f ca="1">IFERROR(__xludf.DUMMYFUNCTION("IMPORTRANGE(""https://docs.google.com/spreadsheets/d/1-uDff_7J0KD5mKrp0Vvzr7lt3OU09vwQwhkpOPPYv2Y/edit?usp=sharing"",""งบพรบ!BE62"")"),0)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33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IFERROR(__xludf.DUMMYFUNCTION("IMPORTRANGE(""https://docs.google.com/spreadsheets/d/1eHaY18a8A9IcSdp1K8H6x8fbOy06t2VsZHhMHf-1x7Y/edit?usp=sharing"",""แผน!N62"")"),0)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IFERROR(__xludf.DUMMYFUNCTION("IMPORTRANGE(""https://docs.google.com/spreadsheets/d/1eHaY18a8A9IcSdp1K8H6x8fbOy06t2VsZHhMHf-1x7Y/edit?usp=sharing"",""แผน!O62"")"),0)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7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7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7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7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7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IFERROR(__xludf.DUMMYFUNCTION("IMPORTRANGE(""https://docs.google.com/spreadsheets/d/1eHaY18a8A9IcSdp1K8H6x8fbOy06t2VsZHhMHf-1x7Y/edit?usp=sharing"",""แผน!R62"")"),0)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4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4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4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4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7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4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890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890"/>
      <c r="D129" s="787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890"/>
      <c r="D130" s="787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IFERROR(__xludf.DUMMYFUNCTION("IMPORTRANGE(""https://docs.google.com/spreadsheets/d/1-uDff_7J0KD5mKrp0Vvzr7lt3OU09vwQwhkpOPPYv2Y/edit?usp=sharing"",""งบพรบ!BG62"")"),0)</f>
        <v>0</v>
      </c>
      <c r="M130" s="886">
        <f ca="1">IFERROR(__xludf.DUMMYFUNCTION("IMPORTRANGE(""https://docs.google.com/spreadsheets/d/1-uDff_7J0KD5mKrp0Vvzr7lt3OU09vwQwhkpOPPYv2Y/edit?usp=sharing"",""งบพรบ!BL62"")"),0)</f>
        <v>0</v>
      </c>
      <c r="N130" s="886">
        <f ca="1">IFERROR(__xludf.DUMMYFUNCTION("IMPORTRANGE(""https://docs.google.com/spreadsheets/d/1-uDff_7J0KD5mKrp0Vvzr7lt3OU09vwQwhkpOPPYv2Y/edit?usp=sharing"",""งบพรบ!BN62"")"),0)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890"/>
      <c r="D131" s="891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890"/>
      <c r="D132" s="787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IFERROR(__xludf.DUMMYFUNCTION("IMPORTRANGE(""https://docs.google.com/spreadsheets/d/1-uDff_7J0KD5mKrp0Vvzr7lt3OU09vwQwhkpOPPYv2Y/edit?usp=sharing"",""งบพรบ!BJ62"")"),0)</f>
        <v>0</v>
      </c>
      <c r="M133" s="886">
        <f ca="1">IFERROR(__xludf.DUMMYFUNCTION("IMPORTRANGE(""https://docs.google.com/spreadsheets/d/1-uDff_7J0KD5mKrp0Vvzr7lt3OU09vwQwhkpOPPYv2Y/edit?usp=sharing"",""งบพรบ!BM62"")"),0)</f>
        <v>0</v>
      </c>
      <c r="N133" s="886">
        <f ca="1">IFERROR(__xludf.DUMMYFUNCTION("IMPORTRANGE(""https://docs.google.com/spreadsheets/d/1-uDff_7J0KD5mKrp0Vvzr7lt3OU09vwQwhkpOPPYv2Y/edit?usp=sharing"",""งบพรบ!BO62"")"),0)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5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81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880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880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880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1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IFERROR(__xludf.DUMMYFUNCTION("IMPORTRANGE(""https://docs.google.com/spreadsheets/d/1-uDff_7J0KD5mKrp0Vvzr7lt3OU09vwQwhkpOPPYv2Y/edit?usp=sharing"",""งบพรบ!BQ62"")"),0)</f>
        <v>0</v>
      </c>
      <c r="M144" s="427">
        <f ca="1">IFERROR(__xludf.DUMMYFUNCTION("IMPORTRANGE(""https://docs.google.com/spreadsheets/d/1-uDff_7J0KD5mKrp0Vvzr7lt3OU09vwQwhkpOPPYv2Y/edit?usp=sharing"",""งบพรบ!BV62"")"),0)</f>
        <v>0</v>
      </c>
      <c r="N144" s="427">
        <f ca="1">IFERROR(__xludf.DUMMYFUNCTION("IMPORTRANGE(""https://docs.google.com/spreadsheets/d/1-uDff_7J0KD5mKrp0Vvzr7lt3OU09vwQwhkpOPPYv2Y/edit?usp=sharing"",""งบพรบ!BX62"")"),0)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IFERROR(__xludf.DUMMYFUNCTION("IMPORTRANGE(""https://docs.google.com/spreadsheets/d/1-uDff_7J0KD5mKrp0Vvzr7lt3OU09vwQwhkpOPPYv2Y/edit?usp=sharing"",""งบพรบ!BT62"")"),0)</f>
        <v>0</v>
      </c>
      <c r="M147" s="427">
        <f ca="1">IFERROR(__xludf.DUMMYFUNCTION("IMPORTRANGE(""https://docs.google.com/spreadsheets/d/1-uDff_7J0KD5mKrp0Vvzr7lt3OU09vwQwhkpOPPYv2Y/edit?usp=sharing"",""งบพรบ!BW62"")"),0)</f>
        <v>0</v>
      </c>
      <c r="N147" s="427">
        <f ca="1">IFERROR(__xludf.DUMMYFUNCTION("IMPORTRANGE(""https://docs.google.com/spreadsheets/d/1-uDff_7J0KD5mKrp0Vvzr7lt3OU09vwQwhkpOPPYv2Y/edit?usp=sharing"",""งบพรบ!BY62"")"),0)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879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IFERROR(__xludf.DUMMYFUNCTION("IMPORTRANGE(""https://docs.google.com/spreadsheets/d/1eHaY18a8A9IcSdp1K8H6x8fbOy06t2VsZHhMHf-1x7Y/edit?usp=sharing"",""แผน!U62"")"),0)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IFERROR(__xludf.DUMMYFUNCTION("IMPORTRANGE(""https://docs.google.com/spreadsheets/d/1eHaY18a8A9IcSdp1K8H6x8fbOy06t2VsZHhMHf-1x7Y/edit?usp=sharing"",""แผน!V62"")"),0)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IFERROR(__xludf.DUMMYFUNCTION("IMPORTRANGE(""https://docs.google.com/spreadsheets/d/1eHaY18a8A9IcSdp1K8H6x8fbOy06t2VsZHhMHf-1x7Y/edit?usp=sharing"",""แผน!W62"")"),0)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IFERROR(__xludf.DUMMYFUNCTION("IMPORTRANGE(""https://docs.google.com/spreadsheets/d/1eHaY18a8A9IcSdp1K8H6x8fbOy06t2VsZHhMHf-1x7Y/edit?usp=sharing"",""แผน!X62"")"),0)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IFERROR(__xludf.DUMMYFUNCTION("IMPORTRANGE(""https://docs.google.com/spreadsheets/d/1eHaY18a8A9IcSdp1K8H6x8fbOy06t2VsZHhMHf-1x7Y/edit?usp=sharing"",""แผน!Y62"")"),0)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5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1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IFERROR(__xludf.DUMMYFUNCTION("IMPORTRANGE(""https://docs.google.com/spreadsheets/d/1-uDff_7J0KD5mKrp0Vvzr7lt3OU09vwQwhkpOPPYv2Y/edit?usp=sharing"",""งบพรบ!CA62"")"),3000)</f>
        <v>3000</v>
      </c>
      <c r="M162" s="427">
        <f ca="1">IFERROR(__xludf.DUMMYFUNCTION("IMPORTRANGE(""https://docs.google.com/spreadsheets/d/1-uDff_7J0KD5mKrp0Vvzr7lt3OU09vwQwhkpOPPYv2Y/edit?usp=sharing"",""งบพรบ!CF62"")"),0)</f>
        <v>0</v>
      </c>
      <c r="N162" s="427">
        <f ca="1">IFERROR(__xludf.DUMMYFUNCTION("IMPORTRANGE(""https://docs.google.com/spreadsheets/d/1-uDff_7J0KD5mKrp0Vvzr7lt3OU09vwQwhkpOPPYv2Y/edit?usp=sharing"",""งบพรบ!CH62"")"),0)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1"/>
      <c r="C164" s="421"/>
      <c r="D164" s="421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1"/>
      <c r="C165" s="421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IFERROR(__xludf.DUMMYFUNCTION("IMPORTRANGE(""https://docs.google.com/spreadsheets/d/1-uDff_7J0KD5mKrp0Vvzr7lt3OU09vwQwhkpOPPYv2Y/edit?usp=sharing"",""งบพรบ!CD62"")"),0)</f>
        <v>0</v>
      </c>
      <c r="M165" s="427">
        <f ca="1">IFERROR(__xludf.DUMMYFUNCTION("IMPORTRANGE(""https://docs.google.com/spreadsheets/d/1-uDff_7J0KD5mKrp0Vvzr7lt3OU09vwQwhkpOPPYv2Y/edit?usp=sharing"",""งบพรบ!CG62"")"),0)</f>
        <v>0</v>
      </c>
      <c r="N165" s="427">
        <f ca="1">IFERROR(__xludf.DUMMYFUNCTION("IMPORTRANGE(""https://docs.google.com/spreadsheets/d/1-uDff_7J0KD5mKrp0Vvzr7lt3OU09vwQwhkpOPPYv2Y/edit?usp=sharing"",""งบพรบ!CI62"")"),0)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33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IFERROR(__xludf.DUMMYFUNCTION("IMPORTRANGE(""https://docs.google.com/spreadsheets/d/1eHaY18a8A9IcSdp1K8H6x8fbOy06t2VsZHhMHf-1x7Y/edit?usp=sharing"",""แผน!Z62"")"),10)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8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2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852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1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1"/>
      <c r="D177" s="421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1"/>
      <c r="C178" s="421"/>
      <c r="D178" s="421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IFERROR(__xludf.DUMMYFUNCTION("IMPORTRANGE(""https://docs.google.com/spreadsheets/d/1-uDff_7J0KD5mKrp0Vvzr7lt3OU09vwQwhkpOPPYv2Y/edit?usp=sharing"",""งบพรบ!CK62"")"),19590)</f>
        <v>19590</v>
      </c>
      <c r="M178" s="427">
        <f ca="1">IFERROR(__xludf.DUMMYFUNCTION("IMPORTRANGE(""https://docs.google.com/spreadsheets/d/1-uDff_7J0KD5mKrp0Vvzr7lt3OU09vwQwhkpOPPYv2Y/edit?usp=sharing"",""งบพรบ!CP62"")"),19590)</f>
        <v>19590</v>
      </c>
      <c r="N178" s="427">
        <f ca="1">IFERROR(__xludf.DUMMYFUNCTION("IMPORTRANGE(""https://docs.google.com/spreadsheets/d/1-uDff_7J0KD5mKrp0Vvzr7lt3OU09vwQwhkpOPPYv2Y/edit?usp=sharing"",""งบพรบ!CR62"")"),0)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1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IFERROR(__xludf.DUMMYFUNCTION("IMPORTRANGE(""https://docs.google.com/spreadsheets/d/1-uDff_7J0KD5mKrp0Vvzr7lt3OU09vwQwhkpOPPYv2Y/edit?usp=sharing"",""งบพรบ!CN62"")"),0)</f>
        <v>0</v>
      </c>
      <c r="M181" s="427">
        <f ca="1">IFERROR(__xludf.DUMMYFUNCTION("IMPORTRANGE(""https://docs.google.com/spreadsheets/d/1-uDff_7J0KD5mKrp0Vvzr7lt3OU09vwQwhkpOPPYv2Y/edit?usp=sharing"",""งบพรบ!CQ62"")"),0)</f>
        <v>0</v>
      </c>
      <c r="N181" s="427">
        <f ca="1">IFERROR(__xludf.DUMMYFUNCTION("IMPORTRANGE(""https://docs.google.com/spreadsheets/d/1-uDff_7J0KD5mKrp0Vvzr7lt3OU09vwQwhkpOPPYv2Y/edit?usp=sharing"",""งบพรบ!CS62"")"),0)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31" t="s">
        <v>33</v>
      </c>
      <c r="I183" s="426">
        <f ca="1">IFERROR(__xludf.DUMMYFUNCTION("IMPORTRANGE(""https://docs.google.com/spreadsheets/d/1eHaY18a8A9IcSdp1K8H6x8fbOy06t2VsZHhMHf-1x7Y/edit?usp=sharing"",""แผน!AA62"")"),7)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853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852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115200</v>
      </c>
      <c r="M186" s="737">
        <f ca="1">M187+M188</f>
        <v>79000</v>
      </c>
      <c r="N186" s="737">
        <f ca="1">N187+N188</f>
        <v>6470</v>
      </c>
      <c r="O186" s="737">
        <f ca="1">IF(L186&gt;0,N186*100/L186,0)</f>
        <v>5.6163194444444446</v>
      </c>
      <c r="P186" s="737">
        <f ca="1">IF(M186&gt;0,N186*100/M186,0)</f>
        <v>8.1898734177215182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115200</v>
      </c>
      <c r="M188" s="427">
        <f ca="1">M191+M194</f>
        <v>79000</v>
      </c>
      <c r="N188" s="427">
        <f ca="1">N191+N194</f>
        <v>6470</v>
      </c>
      <c r="O188" s="427">
        <f ca="1">IF(L188&gt;0,N188*100/L188,0)</f>
        <v>5.6163194444444446</v>
      </c>
      <c r="P188" s="427">
        <f ca="1">IF(M188&gt;0,N188*100/M188,0)</f>
        <v>8.1898734177215182</v>
      </c>
    </row>
    <row r="189" spans="1:16" ht="18.75" x14ac:dyDescent="0.25">
      <c r="A189" s="706"/>
      <c r="B189" s="421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115200</v>
      </c>
      <c r="M189" s="427">
        <f ca="1">M190+M191</f>
        <v>79000</v>
      </c>
      <c r="N189" s="427">
        <f ca="1">N190+N191</f>
        <v>6470</v>
      </c>
      <c r="O189" s="427">
        <f ca="1">IF(L189&gt;0,N189*100/L189,0)</f>
        <v>5.6163194444444446</v>
      </c>
      <c r="P189" s="427">
        <f ca="1">IF(M189&gt;0,N189*100/M189,0)</f>
        <v>8.1898734177215182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1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IFERROR(__xludf.DUMMYFUNCTION("IMPORTRANGE(""https://docs.google.com/spreadsheets/d/1-uDff_7J0KD5mKrp0Vvzr7lt3OU09vwQwhkpOPPYv2Y/edit?usp=sharing"",""งบพรบ!CU62"")"),115200)</f>
        <v>115200</v>
      </c>
      <c r="M191" s="427">
        <f ca="1">IFERROR(__xludf.DUMMYFUNCTION("IMPORTRANGE(""https://docs.google.com/spreadsheets/d/1-uDff_7J0KD5mKrp0Vvzr7lt3OU09vwQwhkpOPPYv2Y/edit?usp=sharing"",""งบพรบ!CZ62"")"),79000)</f>
        <v>79000</v>
      </c>
      <c r="N191" s="427">
        <f ca="1">IFERROR(__xludf.DUMMYFUNCTION("IMPORTRANGE(""https://docs.google.com/spreadsheets/d/1-uDff_7J0KD5mKrp0Vvzr7lt3OU09vwQwhkpOPPYv2Y/edit?usp=sharing"",""งบพรบ!DB62"")"),6470)</f>
        <v>6470</v>
      </c>
      <c r="O191" s="427">
        <f ca="1">IF(L191&gt;0,N191*100/L191,0)</f>
        <v>5.6163194444444446</v>
      </c>
      <c r="P191" s="427">
        <f ca="1">IF(M191&gt;0,N191*100/M191,0)</f>
        <v>8.1898734177215182</v>
      </c>
    </row>
    <row r="192" spans="1:16" ht="18.75" x14ac:dyDescent="0.25">
      <c r="A192" s="706"/>
      <c r="B192" s="421"/>
      <c r="C192" s="421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1"/>
      <c r="C193" s="421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1"/>
      <c r="C194" s="421"/>
      <c r="D194" s="421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IFERROR(__xludf.DUMMYFUNCTION("IMPORTRANGE(""https://docs.google.com/spreadsheets/d/1-uDff_7J0KD5mKrp0Vvzr7lt3OU09vwQwhkpOPPYv2Y/edit?usp=sharing"",""งบพรบ!CX62"")"),0)</f>
        <v>0</v>
      </c>
      <c r="M194" s="427">
        <f ca="1">IFERROR(__xludf.DUMMYFUNCTION("IMPORTRANGE(""https://docs.google.com/spreadsheets/d/1-uDff_7J0KD5mKrp0Vvzr7lt3OU09vwQwhkpOPPYv2Y/edit?usp=sharing"",""งบพรบ!DA62"")"),0)</f>
        <v>0</v>
      </c>
      <c r="N194" s="427">
        <f ca="1">IFERROR(__xludf.DUMMYFUNCTION("IMPORTRANGE(""https://docs.google.com/spreadsheets/d/1-uDff_7J0KD5mKrp0Vvzr7lt3OU09vwQwhkpOPPYv2Y/edit?usp=sharing"",""งบพรบ!DC62"")"),0)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3" t="s">
        <v>72</v>
      </c>
      <c r="D195" s="436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1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IFERROR(__xludf.DUMMYFUNCTION("IMPORTRANGE(""https://docs.google.com/spreadsheets/d/1eHaY18a8A9IcSdp1K8H6x8fbOy06t2VsZHhMHf-1x7Y/edit?usp=sharing"",""แผน!AB62"")"),6000)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30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27" t="s">
        <v>73</v>
      </c>
      <c r="I198" s="426">
        <f ca="1">IFERROR(__xludf.DUMMYFUNCTION("IMPORTRANGE(""https://docs.google.com/spreadsheets/d/1eHaY18a8A9IcSdp1K8H6x8fbOy06t2VsZHhMHf-1x7Y/edit?usp=sharing"",""แผน!AE62"")"),4)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39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39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1"/>
      <c r="C203" s="733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26000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1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IFERROR(__xludf.DUMMYFUNCTION("IMPORTRANGE(""https://docs.google.com/spreadsheets/d/1eHaY18a8A9IcSdp1K8H6x8fbOy06t2VsZHhMHf-1x7Y/edit?usp=sharing"",""แผน!AG62"")"),2000)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1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IFERROR(__xludf.DUMMYFUNCTION("IMPORTRANGE(""https://docs.google.com/spreadsheets/d/1eHaY18a8A9IcSdp1K8H6x8fbOy06t2VsZHhMHf-1x7Y/edit?usp=sharing"",""แผน!AH62"")"),0)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1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IFERROR(__xludf.DUMMYFUNCTION("IMPORTRANGE(""https://docs.google.com/spreadsheets/d/1eHaY18a8A9IcSdp1K8H6x8fbOy06t2VsZHhMHf-1x7Y/edit?usp=sharing"",""แผน!AI62"")"),16000)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1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IFERROR(__xludf.DUMMYFUNCTION("IMPORTRANGE(""https://docs.google.com/spreadsheets/d/1eHaY18a8A9IcSdp1K8H6x8fbOy06t2VsZHhMHf-1x7Y/edit?usp=sharing"",""แผน!AJ62"")"),8000)</f>
        <v>8000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30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5" t="s">
        <v>79</v>
      </c>
      <c r="I209" s="426">
        <f ca="1">IFERROR(__xludf.DUMMYFUNCTION("IMPORTRANGE(""https://docs.google.com/spreadsheets/d/1eHaY18a8A9IcSdp1K8H6x8fbOy06t2VsZHhMHf-1x7Y/edit?usp=sharing"",""แผน!AK62"")"),2)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30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5" t="s">
        <v>79</v>
      </c>
      <c r="I211" s="426">
        <f ca="1">IFERROR(__xludf.DUMMYFUNCTION("IMPORTRANGE(""https://docs.google.com/spreadsheets/d/1eHaY18a8A9IcSdp1K8H6x8fbOy06t2VsZHhMHf-1x7Y/edit?usp=sharing"",""แผน!JX62"")"),2)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IFERROR(__xludf.DUMMYFUNCTION("IMPORTRANGE(""https://docs.google.com/spreadsheets/d/1eHaY18a8A9IcSdp1K8H6x8fbOy06t2VsZHhMHf-1x7Y/edit?usp=sharing"",""แผน!JY62"")"),0)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3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1"/>
      <c r="C214" s="733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IFERROR(__xludf.DUMMYFUNCTION("IMPORTRANGE(""https://docs.google.com/spreadsheets/d/1eHaY18a8A9IcSdp1K8H6x8fbOy06t2VsZHhMHf-1x7Y/edit?usp=sharing"",""แผน!AM62"")"),0)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IFERROR(__xludf.DUMMYFUNCTION("IMPORTRANGE(""https://docs.google.com/spreadsheets/d/1eHaY18a8A9IcSdp1K8H6x8fbOy06t2VsZHhMHf-1x7Y/edit?usp=sharing"",""แผน!AN62"")"),0)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IFERROR(__xludf.DUMMYFUNCTION("IMPORTRANGE(""https://docs.google.com/spreadsheets/d/1eHaY18a8A9IcSdp1K8H6x8fbOy06t2VsZHhMHf-1x7Y/edit?usp=sharing"",""แผน!AO62"")"),0)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30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5" t="s">
        <v>79</v>
      </c>
      <c r="I219" s="426">
        <f ca="1">IFERROR(__xludf.DUMMYFUNCTION("IMPORTRANGE(""https://docs.google.com/spreadsheets/d/1eHaY18a8A9IcSdp1K8H6x8fbOy06t2VsZHhMHf-1x7Y/edit?usp=sharing"",""แผน!AP62"")"),0)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IFERROR(__xludf.DUMMYFUNCTION("IMPORTRANGE(""https://docs.google.com/spreadsheets/d/1eHaY18a8A9IcSdp1K8H6x8fbOy06t2VsZHhMHf-1x7Y/edit?usp=sharing"",""แผน!AP62"")"),0)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3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1"/>
      <c r="C222" s="733" t="s">
        <v>16</v>
      </c>
      <c r="D222" s="842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1"/>
      <c r="D223" s="836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IFERROR(__xludf.DUMMYFUNCTION("IMPORTRANGE(""https://docs.google.com/spreadsheets/d/1eHaY18a8A9IcSdp1K8H6x8fbOy06t2VsZHhMHf-1x7Y/edit?usp=sharing"",""แผน!AR62"")"),3000)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IFERROR(__xludf.DUMMYFUNCTION("IMPORTRANGE(""https://docs.google.com/spreadsheets/d/1eHaY18a8A9IcSdp1K8H6x8fbOy06t2VsZHhMHf-1x7Y/edit?usp=sharing"",""แผน!AS62"")"),1500)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IFERROR(__xludf.DUMMYFUNCTION("IMPORTRANGE(""https://docs.google.com/spreadsheets/d/1eHaY18a8A9IcSdp1K8H6x8fbOy06t2VsZHhMHf-1x7Y/edit?usp=sharing"",""แผน!AT62"")"),0)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30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30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27" t="s">
        <v>93</v>
      </c>
      <c r="I228" s="426">
        <f ca="1">IFERROR(__xludf.DUMMYFUNCTION("IMPORTRANGE(""https://docs.google.com/spreadsheets/d/1eHaY18a8A9IcSdp1K8H6x8fbOy06t2VsZHhMHf-1x7Y/edit?usp=sharing"",""แผน!AV62"")"),20000)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27" t="s">
        <v>93</v>
      </c>
      <c r="I229" s="426">
        <f ca="1">IFERROR(__xludf.DUMMYFUNCTION("IMPORTRANGE(""https://docs.google.com/spreadsheets/d/1eHaY18a8A9IcSdp1K8H6x8fbOy06t2VsZHhMHf-1x7Y/edit?usp=sharing"",""แผน!AV62"")"),20000)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27" t="s">
        <v>33</v>
      </c>
      <c r="I230" s="426">
        <f ca="1">IFERROR(__xludf.DUMMYFUNCTION("IMPORTRANGE(""https://docs.google.com/spreadsheets/d/1eHaY18a8A9IcSdp1K8H6x8fbOy06t2VsZHhMHf-1x7Y/edit?usp=sharing"",""แผน!AU62"")"),0)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3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1"/>
      <c r="C232" s="733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1"/>
      <c r="D233" s="751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751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751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30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27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30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27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27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83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1"/>
      <c r="C243" s="60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1"/>
      <c r="D244" s="623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IFERROR(__xludf.DUMMYFUNCTION("IMPORTRANGE(""https://docs.google.com/spreadsheets/d/1eHaY18a8A9IcSdp1K8H6x8fbOy06t2VsZHhMHf-1x7Y/edit?usp=sharing"",""แผน!AX62"")"),0)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623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IFERROR(__xludf.DUMMYFUNCTION("IMPORTRANGE(""https://docs.google.com/spreadsheets/d/1eHaY18a8A9IcSdp1K8H6x8fbOy06t2VsZHhMHf-1x7Y/edit?usp=sharing"",""แผน!AY62"")"),0)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623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IFERROR(__xludf.DUMMYFUNCTION("IMPORTRANGE(""https://docs.google.com/spreadsheets/d/1eHaY18a8A9IcSdp1K8H6x8fbOy06t2VsZHhMHf-1x7Y/edit?usp=sharing"",""แผน!AZ62"")"),0)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IFERROR(__xludf.DUMMYFUNCTION("IMPORTRANGE(""https://docs.google.com/spreadsheets/d/1eHaY18a8A9IcSdp1K8H6x8fbOy06t2VsZHhMHf-1x7Y/edit?usp=sharing"",""แผน!BA62"")"),0)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30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539" t="s">
        <v>33</v>
      </c>
      <c r="I249" s="201">
        <f ca="1">IFERROR(__xludf.DUMMYFUNCTION("IMPORTRANGE(""https://docs.google.com/spreadsheets/d/1eHaY18a8A9IcSdp1K8H6x8fbOy06t2VsZHhMHf-1x7Y/edit?usp=sharing"",""แผน!BG62"")"),0)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30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539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539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83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1"/>
      <c r="C254" s="60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1"/>
      <c r="D255" s="623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IFERROR(__xludf.DUMMYFUNCTION("IMPORTRANGE(""https://docs.google.com/spreadsheets/d/1eHaY18a8A9IcSdp1K8H6x8fbOy06t2VsZHhMHf-1x7Y/edit?usp=sharing"",""แผน!BB62"")"),0)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623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IFERROR(__xludf.DUMMYFUNCTION("IMPORTRANGE(""https://docs.google.com/spreadsheets/d/1eHaY18a8A9IcSdp1K8H6x8fbOy06t2VsZHhMHf-1x7Y/edit?usp=sharing"",""แผน!BC62"")"),0)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623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IFERROR(__xludf.DUMMYFUNCTION("IMPORTRANGE(""https://docs.google.com/spreadsheets/d/1eHaY18a8A9IcSdp1K8H6x8fbOy06t2VsZHhMHf-1x7Y/edit?usp=sharing"",""แผน!BD62"")"),0)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IFERROR(__xludf.DUMMYFUNCTION("IMPORTRANGE(""https://docs.google.com/spreadsheets/d/1eHaY18a8A9IcSdp1K8H6x8fbOy06t2VsZHhMHf-1x7Y/edit?usp=sharing"",""แผน!BE62"")"),0)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539" t="s">
        <v>33</v>
      </c>
      <c r="I260" s="201">
        <f ca="1">IFERROR(__xludf.DUMMYFUNCTION("IMPORTRANGE(""https://docs.google.com/spreadsheets/d/1eHaY18a8A9IcSdp1K8H6x8fbOy06t2VsZHhMHf-1x7Y/edit?usp=sharing"",""แผน!BH62"")"),0)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30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539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539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2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828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1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1"/>
      <c r="C270" s="421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1"/>
      <c r="C271" s="421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IFERROR(__xludf.DUMMYFUNCTION("IMPORTRANGE(""https://docs.google.com/spreadsheets/d/1-uDff_7J0KD5mKrp0Vvzr7lt3OU09vwQwhkpOPPYv2Y/edit?usp=sharing"",""งบพรบ!DE62"")"),0)</f>
        <v>0</v>
      </c>
      <c r="M271" s="522">
        <f ca="1">IFERROR(__xludf.DUMMYFUNCTION("IMPORTRANGE(""https://docs.google.com/spreadsheets/d/1-uDff_7J0KD5mKrp0Vvzr7lt3OU09vwQwhkpOPPYv2Y/edit?usp=sharing"",""งบพรบ!DJ62"")"),0)</f>
        <v>0</v>
      </c>
      <c r="N271" s="522">
        <f ca="1">IFERROR(__xludf.DUMMYFUNCTION("IMPORTRANGE(""https://docs.google.com/spreadsheets/d/1-uDff_7J0KD5mKrp0Vvzr7lt3OU09vwQwhkpOPPYv2Y/edit?usp=sharing"",""งบพรบ!DL62"")"),0)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1"/>
      <c r="C272" s="421"/>
      <c r="D272" s="825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1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1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IFERROR(__xludf.DUMMYFUNCTION("IMPORTRANGE(""https://docs.google.com/spreadsheets/d/1-uDff_7J0KD5mKrp0Vvzr7lt3OU09vwQwhkpOPPYv2Y/edit?usp=sharing"",""งบพรบ!DH62"")"),0)</f>
        <v>0</v>
      </c>
      <c r="M274" s="522">
        <f ca="1">IFERROR(__xludf.DUMMYFUNCTION("IMPORTRANGE(""https://docs.google.com/spreadsheets/d/1-uDff_7J0KD5mKrp0Vvzr7lt3OU09vwQwhkpOPPYv2Y/edit?usp=sharing"",""งบพรบ!DK62"")"),0)</f>
        <v>0</v>
      </c>
      <c r="N274" s="522">
        <f ca="1">IFERROR(__xludf.DUMMYFUNCTION("IMPORTRANGE(""https://docs.google.com/spreadsheets/d/1-uDff_7J0KD5mKrp0Vvzr7lt3OU09vwQwhkpOPPYv2Y/edit?usp=sharing"",""งบพรบ!DM62"")"),0)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824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4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819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4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8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799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799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1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1"/>
      <c r="C286" s="421"/>
      <c r="D286" s="420"/>
      <c r="E286" s="623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1"/>
      <c r="C287" s="421"/>
      <c r="D287" s="420"/>
      <c r="E287" s="751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IFERROR(__xludf.DUMMYFUNCTION("IMPORTRANGE(""https://docs.google.com/spreadsheets/d/1-uDff_7J0KD5mKrp0Vvzr7lt3OU09vwQwhkpOPPYv2Y/edit?usp=sharing"",""งบพรบ!DO62"")"),0)</f>
        <v>0</v>
      </c>
      <c r="M287" s="427">
        <f ca="1">IFERROR(__xludf.DUMMYFUNCTION("IMPORTRANGE(""https://docs.google.com/spreadsheets/d/1-uDff_7J0KD5mKrp0Vvzr7lt3OU09vwQwhkpOPPYv2Y/edit?usp=sharing"",""งบพรบ!DT62"")"),0)</f>
        <v>0</v>
      </c>
      <c r="N287" s="427">
        <f ca="1">IFERROR(__xludf.DUMMYFUNCTION("IMPORTRANGE(""https://docs.google.com/spreadsheets/d/1-uDff_7J0KD5mKrp0Vvzr7lt3OU09vwQwhkpOPPYv2Y/edit?usp=sharing"",""งบพรบ!DV62"")"),0)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1"/>
      <c r="C288" s="421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1"/>
      <c r="C289" s="421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1"/>
      <c r="C290" s="421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IFERROR(__xludf.DUMMYFUNCTION("IMPORTRANGE(""https://docs.google.com/spreadsheets/d/1-uDff_7J0KD5mKrp0Vvzr7lt3OU09vwQwhkpOPPYv2Y/edit?usp=sharing"",""งบพรบ!DR62"")"),0)</f>
        <v>0</v>
      </c>
      <c r="M290" s="427">
        <f ca="1">IFERROR(__xludf.DUMMYFUNCTION("IMPORTRANGE(""https://docs.google.com/spreadsheets/d/1-uDff_7J0KD5mKrp0Vvzr7lt3OU09vwQwhkpOPPYv2Y/edit?usp=sharing"",""งบพรบ!DU62"")"),0)</f>
        <v>0</v>
      </c>
      <c r="N290" s="427">
        <f ca="1">IFERROR(__xludf.DUMMYFUNCTION("IMPORTRANGE(""https://docs.google.com/spreadsheets/d/1-uDff_7J0KD5mKrp0Vvzr7lt3OU09vwQwhkpOPPYv2Y/edit?usp=sharing"",""งบพรบ!DW62"")"),0)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33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IFERROR(__xludf.DUMMYFUNCTION("IMPORTRANGE(""https://docs.google.com/spreadsheets/d/1eHaY18a8A9IcSdp1K8H6x8fbOy06t2VsZHhMHf-1x7Y/edit?usp=sharing"",""แผน!EE62"")"),0)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IFERROR(__xludf.DUMMYFUNCTION("IMPORTRANGE(""https://docs.google.com/spreadsheets/d/1eHaY18a8A9IcSdp1K8H6x8fbOy06t2VsZHhMHf-1x7Y/edit?usp=sharing"",""แผน!ED62"")"),0)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3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IFERROR(__xludf.DUMMYFUNCTION("IMPORTRANGE(""https://docs.google.com/spreadsheets/d/1eHaY18a8A9IcSdp1K8H6x8fbOy06t2VsZHhMHf-1x7Y/edit?usp=sharing"",""แผน!ED62"")"),0)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IFERROR(__xludf.DUMMYFUNCTION("IMPORTRANGE(""https://docs.google.com/spreadsheets/d/1eHaY18a8A9IcSdp1K8H6x8fbOy06t2VsZHhMHf-1x7Y/edit?usp=sharing"",""แผน!ED62"")"),0)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4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4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7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2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7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752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1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1"/>
      <c r="C307" s="421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1"/>
      <c r="C308" s="421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IFERROR(__xludf.DUMMYFUNCTION("IMPORTRANGE(""https://docs.google.com/spreadsheets/d/1-uDff_7J0KD5mKrp0Vvzr7lt3OU09vwQwhkpOPPYv2Y/edit?usp=sharing"",""งบพรบ!DY62"")"),0)</f>
        <v>0</v>
      </c>
      <c r="M308" s="427">
        <f ca="1">IFERROR(__xludf.DUMMYFUNCTION("IMPORTRANGE(""https://docs.google.com/spreadsheets/d/1-uDff_7J0KD5mKrp0Vvzr7lt3OU09vwQwhkpOPPYv2Y/edit?usp=sharing"",""งบพรบ!ED62"")"),0)</f>
        <v>0</v>
      </c>
      <c r="N308" s="427">
        <f ca="1">IFERROR(__xludf.DUMMYFUNCTION("IMPORTRANGE(""https://docs.google.com/spreadsheets/d/1-uDff_7J0KD5mKrp0Vvzr7lt3OU09vwQwhkpOPPYv2Y/edit?usp=sharing"",""งบพรบ!EF62"")"),0)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1"/>
      <c r="C309" s="421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1"/>
      <c r="C310" s="421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1"/>
      <c r="C311" s="421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IFERROR(__xludf.DUMMYFUNCTION("IMPORTRANGE(""https://docs.google.com/spreadsheets/d/1-uDff_7J0KD5mKrp0Vvzr7lt3OU09vwQwhkpOPPYv2Y/edit?usp=sharing"",""งบพรบ!EB62"")"),0)</f>
        <v>0</v>
      </c>
      <c r="M311" s="427">
        <f ca="1">IFERROR(__xludf.DUMMYFUNCTION("IMPORTRANGE(""https://docs.google.com/spreadsheets/d/1-uDff_7J0KD5mKrp0Vvzr7lt3OU09vwQwhkpOPPYv2Y/edit?usp=sharing"",""งบพรบ!EE62"")"),0)</f>
        <v>0</v>
      </c>
      <c r="N311" s="427">
        <f ca="1">IFERROR(__xludf.DUMMYFUNCTION("IMPORTRANGE(""https://docs.google.com/spreadsheets/d/1-uDff_7J0KD5mKrp0Vvzr7lt3OU09vwQwhkpOPPYv2Y/edit?usp=sharing"",""งบพรบ!EG62"")"),0)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33" t="s">
        <v>16</v>
      </c>
      <c r="D312" s="759" t="s">
        <v>36</v>
      </c>
      <c r="E312" s="766"/>
      <c r="F312" s="766"/>
      <c r="G312" s="765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764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27" t="s">
        <v>33</v>
      </c>
      <c r="I314" s="426">
        <f ca="1">IFERROR(__xludf.DUMMYFUNCTION("IMPORTRANGE(""https://docs.google.com/spreadsheets/d/1eHaY18a8A9IcSdp1K8H6x8fbOy06t2VsZHhMHf-1x7Y/edit?usp=sharing"",""แผน!EF62"")"),0)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27" t="s">
        <v>33</v>
      </c>
      <c r="I315" s="426">
        <f ca="1">IFERROR(__xludf.DUMMYFUNCTION("IMPORTRANGE(""https://docs.google.com/spreadsheets/d/1eHaY18a8A9IcSdp1K8H6x8fbOy06t2VsZHhMHf-1x7Y/edit?usp=sharing"",""แผน!EG62"")"),0)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27" t="s">
        <v>33</v>
      </c>
      <c r="I316" s="426">
        <f ca="1">IFERROR(__xludf.DUMMYFUNCTION("IMPORTRANGE(""https://docs.google.com/spreadsheets/d/1eHaY18a8A9IcSdp1K8H6x8fbOy06t2VsZHhMHf-1x7Y/edit?usp=sharing"",""แผน!EH62"")"),0)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44" t="s">
        <v>33</v>
      </c>
      <c r="I317" s="201">
        <f ca="1">IFERROR(__xludf.DUMMYFUNCTION("IMPORTRANGE(""https://docs.google.com/spreadsheets/d/1eHaY18a8A9IcSdp1K8H6x8fbOy06t2VsZHhMHf-1x7Y/edit?usp=sharing"",""แผน!EI62"")"),0)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5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752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1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1"/>
      <c r="C324" s="421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1"/>
      <c r="C325" s="421"/>
      <c r="D325" s="420"/>
      <c r="E325" s="751" t="s">
        <v>35</v>
      </c>
      <c r="F325" s="421"/>
      <c r="G325" s="428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IFERROR(__xludf.DUMMYFUNCTION("IMPORTRANGE(""https://docs.google.com/spreadsheets/d/1-uDff_7J0KD5mKrp0Vvzr7lt3OU09vwQwhkpOPPYv2Y/edit?usp=sharing"",""งบพรบ!EI62"")"),0)</f>
        <v>0</v>
      </c>
      <c r="M325" s="427">
        <f ca="1">IFERROR(__xludf.DUMMYFUNCTION("IMPORTRANGE(""https://docs.google.com/spreadsheets/d/1-uDff_7J0KD5mKrp0Vvzr7lt3OU09vwQwhkpOPPYv2Y/edit?usp=sharing"",""งบพรบ!EN62"")"),0)</f>
        <v>0</v>
      </c>
      <c r="N325" s="427">
        <f ca="1">IFERROR(__xludf.DUMMYFUNCTION("IMPORTRANGE(""https://docs.google.com/spreadsheets/d/1-uDff_7J0KD5mKrp0Vvzr7lt3OU09vwQwhkpOPPYv2Y/edit?usp=sharing"",""งบพรบ!EP62"")"),0)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1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IFERROR(__xludf.DUMMYFUNCTION("IMPORTRANGE(""https://docs.google.com/spreadsheets/d/1-uDff_7J0KD5mKrp0Vvzr7lt3OU09vwQwhkpOPPYv2Y/edit?usp=sharing"",""งบพรบ!EL62"")"),0)</f>
        <v>0</v>
      </c>
      <c r="M328" s="427">
        <f ca="1">IFERROR(__xludf.DUMMYFUNCTION("IMPORTRANGE(""https://docs.google.com/spreadsheets/d/1-uDff_7J0KD5mKrp0Vvzr7lt3OU09vwQwhkpOPPYv2Y/edit?usp=sharing"",""งบพรบ!EO62"")"),0)</f>
        <v>0</v>
      </c>
      <c r="N328" s="427">
        <f ca="1">IFERROR(__xludf.DUMMYFUNCTION("IMPORTRANGE(""https://docs.google.com/spreadsheets/d/1-uDff_7J0KD5mKrp0Vvzr7lt3OU09vwQwhkpOPPYv2Y/edit?usp=sharing"",""งบพรบ!EQ62"")"),0)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30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442" t="s">
        <v>126</v>
      </c>
      <c r="I330" s="426">
        <f ca="1">IFERROR(__xludf.DUMMYFUNCTION("IMPORTRANGE(""https://docs.google.com/spreadsheets/d/1eHaY18a8A9IcSdp1K8H6x8fbOy06t2VsZHhMHf-1x7Y/edit?usp=sharing"",""แผน!EJ62"")"),0)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5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752" t="s">
        <v>33</v>
      </c>
      <c r="I332" s="403">
        <f ca="1">I344</f>
        <v>540</v>
      </c>
      <c r="J332" s="404">
        <f ca="1">J344+J347+J348+J349+J353</f>
        <v>775</v>
      </c>
      <c r="K332" s="405">
        <f ca="1">IF(I332&gt;0,J332*100/I332,0)</f>
        <v>143.5185185185185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218600</v>
      </c>
      <c r="M333" s="737">
        <f ca="1">M334+M335</f>
        <v>163350</v>
      </c>
      <c r="N333" s="737">
        <f ca="1">N334+N335</f>
        <v>36415</v>
      </c>
      <c r="O333" s="737">
        <f ca="1">IF(L333&gt;0,N333*100/L333,0)</f>
        <v>16.658279963403476</v>
      </c>
      <c r="P333" s="737">
        <f ca="1">IF(M333&gt;0,N333*100/M333,0)</f>
        <v>22.292623201714111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218600</v>
      </c>
      <c r="M335" s="427">
        <f ca="1">M338+M341</f>
        <v>163350</v>
      </c>
      <c r="N335" s="427">
        <f ca="1">N338+N341</f>
        <v>36415</v>
      </c>
      <c r="O335" s="427">
        <f ca="1">IF(L335&gt;0,N335*100/L335,0)</f>
        <v>16.658279963403476</v>
      </c>
      <c r="P335" s="427">
        <f ca="1">IF(M335&gt;0,N335*100/M335,0)</f>
        <v>22.292623201714111</v>
      </c>
    </row>
    <row r="336" spans="1:16" ht="18.75" x14ac:dyDescent="0.25">
      <c r="A336" s="706"/>
      <c r="B336" s="421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218600</v>
      </c>
      <c r="M336" s="427">
        <f ca="1">M337+M338</f>
        <v>163350</v>
      </c>
      <c r="N336" s="427">
        <f ca="1">N337+N338</f>
        <v>36415</v>
      </c>
      <c r="O336" s="427">
        <f ca="1">IF(L336&gt;0,N336*100/L336,0)</f>
        <v>16.658279963403476</v>
      </c>
      <c r="P336" s="427">
        <f ca="1">IF(M336&gt;0,N336*100/M336,0)</f>
        <v>22.292623201714111</v>
      </c>
    </row>
    <row r="337" spans="1:16" ht="18.75" hidden="1" x14ac:dyDescent="0.25">
      <c r="A337" s="706"/>
      <c r="B337" s="420"/>
      <c r="C337" s="421"/>
      <c r="D337" s="420"/>
      <c r="E337" s="623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1"/>
      <c r="D338" s="420"/>
      <c r="E338" s="751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IFERROR(__xludf.DUMMYFUNCTION("IMPORTRANGE(""https://docs.google.com/spreadsheets/d/1-uDff_7J0KD5mKrp0Vvzr7lt3OU09vwQwhkpOPPYv2Y/edit?usp=sharing"",""งบพรบ!ES62"")"),218600)</f>
        <v>218600</v>
      </c>
      <c r="M338" s="427">
        <f ca="1">IFERROR(__xludf.DUMMYFUNCTION("IMPORTRANGE(""https://docs.google.com/spreadsheets/d/1-uDff_7J0KD5mKrp0Vvzr7lt3OU09vwQwhkpOPPYv2Y/edit?usp=sharing"",""งบพรบ!EX62"")"),163350)</f>
        <v>163350</v>
      </c>
      <c r="N338" s="427">
        <f ca="1">IFERROR(__xludf.DUMMYFUNCTION("IMPORTRANGE(""https://docs.google.com/spreadsheets/d/1-uDff_7J0KD5mKrp0Vvzr7lt3OU09vwQwhkpOPPYv2Y/edit?usp=sharing"",""งบพรบ!EZ62"")"),36415)</f>
        <v>36415</v>
      </c>
      <c r="O338" s="427">
        <f ca="1">IF(L338&gt;0,N338*100/L338,0)</f>
        <v>16.658279963403476</v>
      </c>
      <c r="P338" s="427">
        <f ca="1">IF(M338&gt;0,N338*100/M338,0)</f>
        <v>22.292623201714111</v>
      </c>
    </row>
    <row r="339" spans="1:16" ht="18.75" x14ac:dyDescent="0.25">
      <c r="A339" s="706"/>
      <c r="B339" s="420"/>
      <c r="C339" s="421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1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1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IFERROR(__xludf.DUMMYFUNCTION("IMPORTRANGE(""https://docs.google.com/spreadsheets/d/1-uDff_7J0KD5mKrp0Vvzr7lt3OU09vwQwhkpOPPYv2Y/edit?usp=sharing"",""งบพรบ!EV62"")"),0)</f>
        <v>0</v>
      </c>
      <c r="M341" s="427">
        <f ca="1">IFERROR(__xludf.DUMMYFUNCTION("IMPORTRANGE(""https://docs.google.com/spreadsheets/d/1-uDff_7J0KD5mKrp0Vvzr7lt3OU09vwQwhkpOPPYv2Y/edit?usp=sharing"",""งบพรบ!EY62"")"),0)</f>
        <v>0</v>
      </c>
      <c r="N341" s="427">
        <f ca="1">IFERROR(__xludf.DUMMYFUNCTION("IMPORTRANGE(""https://docs.google.com/spreadsheets/d/1-uDff_7J0KD5mKrp0Vvzr7lt3OU09vwQwhkpOPPYv2Y/edit?usp=sharing"",""งบพรบ!FA62"")"),0)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33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137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31" t="s">
        <v>33</v>
      </c>
      <c r="I344" s="426">
        <f ca="1">IFERROR(__xludf.DUMMYFUNCTION("IMPORTRANGE(""https://docs.google.com/spreadsheets/d/1eHaY18a8A9IcSdp1K8H6x8fbOy06t2VsZHhMHf-1x7Y/edit?usp=sharing"",""แผน!EK62"")"),540)</f>
        <v>540</v>
      </c>
      <c r="J344" s="426">
        <f ca="1">IFERROR(__xludf.DUMMYFUNCTION("IMPORTRANGE(""https://docs.google.com/spreadsheets/d/1awYsYK3VOup2i3Pq_Yjnu8DRu_mYwSBnCR2QPthd0rU/edit?usp=sharing"",""ศูนย์ยกเว้นโฉนด!D62"")"),133)</f>
        <v>133</v>
      </c>
      <c r="K344" s="427">
        <f ca="1">IF(I344&gt;0,J344*100/I344,0)</f>
        <v>24.62962962962963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IFERROR(__xludf.DUMMYFUNCTION("IMPORTRANGE(""https://docs.google.com/spreadsheets/d/1eHaY18a8A9IcSdp1K8H6x8fbOy06t2VsZHhMHf-1x7Y/edit?usp=sharing"",""แผน!EL62"")"),2)</f>
        <v>2</v>
      </c>
      <c r="J346" s="426">
        <f ca="1">IFERROR(__xludf.DUMMYFUNCTION("IMPORTRANGE(""https://docs.google.com/spreadsheets/d/1awYsYK3VOup2i3Pq_Yjnu8DRu_mYwSBnCR2QPthd0rU/edit?usp=sharing"",""ศูนย์รวม!E62"")"),0)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IFERROR(__xludf.DUMMYFUNCTION("IMPORTRANGE(""https://docs.google.com/spreadsheets/d/1awYsYK3VOup2i3Pq_Yjnu8DRu_mYwSBnCR2QPthd0rU/edit?usp=sharing"",""ศูนย์ยกเว้นโฉนด!F62"")"),0)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IFERROR(__xludf.DUMMYFUNCTION("IMPORTRANGE(""https://docs.google.com/spreadsheets/d/1awYsYK3VOup2i3Pq_Yjnu8DRu_mYwSBnCR2QPthd0rU/edit?usp=sharing"",""ศูนย์ยกเว้นโฉนด!G62"")"),4)</f>
        <v>4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IFERROR(__xludf.DUMMYFUNCTION("IMPORTRANGE(""https://docs.google.com/spreadsheets/d/1awYsYK3VOup2i3Pq_Yjnu8DRu_mYwSBnCR2QPthd0rU/edit?usp=sharing"",""ศูนย์ยกเว้นโฉนด!H62"")"),0)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749" t="s">
        <v>33</v>
      </c>
      <c r="I351" s="440">
        <v>0</v>
      </c>
      <c r="J351" s="440">
        <f ca="1">J352+J353</f>
        <v>1613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IFERROR(__xludf.DUMMYFUNCTION("IMPORTRANGE(""https://docs.google.com/spreadsheets/d/1awYsYK3VOup2i3Pq_Yjnu8DRu_mYwSBnCR2QPthd0rU/edit?usp=sharing"",""โฉนดM3!G62"")"),975)</f>
        <v>975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IFERROR(__xludf.DUMMYFUNCTION("IMPORTRANGE(""https://docs.google.com/spreadsheets/d/1awYsYK3VOup2i3Pq_Yjnu8DRu_mYwSBnCR2QPthd0rU/edit?usp=sharing"",""โฉนดM3!H62"")"),638)</f>
        <v>638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3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266990</v>
      </c>
      <c r="M356" s="737">
        <f ca="1">M357+M358</f>
        <v>214990</v>
      </c>
      <c r="N356" s="737">
        <f ca="1">N357+N358</f>
        <v>25133.34</v>
      </c>
      <c r="O356" s="737">
        <f ca="1">IF(L356&gt;0,N356*100/L356,0)</f>
        <v>9.4135885239147541</v>
      </c>
      <c r="P356" s="737">
        <f ca="1">IF(M356&gt;0,N356*100/M356,0)</f>
        <v>11.690469324154613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1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266990</v>
      </c>
      <c r="M358" s="427">
        <f ca="1">M361+M364</f>
        <v>214990</v>
      </c>
      <c r="N358" s="427">
        <f ca="1">N361+N364</f>
        <v>25133.34</v>
      </c>
      <c r="O358" s="427">
        <f ca="1">IF(L358&gt;0,N358*100/L358,0)</f>
        <v>9.4135885239147541</v>
      </c>
      <c r="P358" s="427">
        <f ca="1">IF(M358&gt;0,N358*100/M358,0)</f>
        <v>11.690469324154613</v>
      </c>
    </row>
    <row r="359" spans="1:16" ht="18.75" x14ac:dyDescent="0.25">
      <c r="A359" s="706"/>
      <c r="B359" s="421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266990</v>
      </c>
      <c r="M359" s="427">
        <f ca="1">M360+M361</f>
        <v>214990</v>
      </c>
      <c r="N359" s="427">
        <f ca="1">N360+N361</f>
        <v>25133.34</v>
      </c>
      <c r="O359" s="427">
        <f ca="1">IF(L359&gt;0,N359*100/L359,0)</f>
        <v>9.4135885239147541</v>
      </c>
      <c r="P359" s="427">
        <f ca="1">IF(M359&gt;0,N359*100/M359,0)</f>
        <v>11.690469324154613</v>
      </c>
    </row>
    <row r="360" spans="1:16" ht="18.75" hidden="1" x14ac:dyDescent="0.25">
      <c r="A360" s="706"/>
      <c r="B360" s="420"/>
      <c r="C360" s="421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1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IFERROR(__xludf.DUMMYFUNCTION("IMPORTRANGE(""https://docs.google.com/spreadsheets/d/1-uDff_7J0KD5mKrp0Vvzr7lt3OU09vwQwhkpOPPYv2Y/edit?usp=sharing"",""งบพรบ!FC62"")"),266990)</f>
        <v>266990</v>
      </c>
      <c r="M361" s="427">
        <f ca="1">IFERROR(__xludf.DUMMYFUNCTION("IMPORTRANGE(""https://docs.google.com/spreadsheets/d/1-uDff_7J0KD5mKrp0Vvzr7lt3OU09vwQwhkpOPPYv2Y/edit?usp=sharing"",""งบพรบ!FH62"")"),214990)</f>
        <v>214990</v>
      </c>
      <c r="N361" s="427">
        <f ca="1">IFERROR(__xludf.DUMMYFUNCTION("IMPORTRANGE(""https://docs.google.com/spreadsheets/d/1-uDff_7J0KD5mKrp0Vvzr7lt3OU09vwQwhkpOPPYv2Y/edit?usp=sharing"",""งบพรบ!FJ62"")"),25133.34)</f>
        <v>25133.34</v>
      </c>
      <c r="O361" s="427">
        <f ca="1">IF(L361&gt;0,N361*100/L361,0)</f>
        <v>9.4135885239147541</v>
      </c>
      <c r="P361" s="427">
        <f ca="1">IF(M361&gt;0,N361*100/M361,0)</f>
        <v>11.690469324154613</v>
      </c>
    </row>
    <row r="362" spans="1:16" ht="18.75" x14ac:dyDescent="0.25">
      <c r="A362" s="706"/>
      <c r="B362" s="420"/>
      <c r="C362" s="421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1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1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IFERROR(__xludf.DUMMYFUNCTION("IMPORTRANGE(""https://docs.google.com/spreadsheets/d/1-uDff_7J0KD5mKrp0Vvzr7lt3OU09vwQwhkpOPPYv2Y/edit?usp=sharing"",""งบพรบ!FF62"")"),0)</f>
        <v>0</v>
      </c>
      <c r="M364" s="427">
        <f ca="1">IFERROR(__xludf.DUMMYFUNCTION("IMPORTRANGE(""https://docs.google.com/spreadsheets/d/1-uDff_7J0KD5mKrp0Vvzr7lt3OU09vwQwhkpOPPYv2Y/edit?usp=sharing"",""งบพรบ!FI62"")"),0)</f>
        <v>0</v>
      </c>
      <c r="N364" s="427">
        <f ca="1">IFERROR(__xludf.DUMMYFUNCTION("IMPORTRANGE(""https://docs.google.com/spreadsheets/d/1-uDff_7J0KD5mKrp0Vvzr7lt3OU09vwQwhkpOPPYv2Y/edit?usp=sharing"",""งบพรบ!FK62"")"),0)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6"/>
      <c r="D365" s="576" t="s">
        <v>142</v>
      </c>
      <c r="E365" s="435"/>
      <c r="F365" s="435"/>
      <c r="G365" s="438"/>
      <c r="H365" s="734" t="s">
        <v>33</v>
      </c>
      <c r="I365" s="440">
        <f ca="1">I371</f>
        <v>65</v>
      </c>
      <c r="J365" s="440">
        <f ca="1">J371</f>
        <v>56</v>
      </c>
      <c r="K365" s="441">
        <f ca="1">IF(I365&gt;0,J365*100/I365,0)</f>
        <v>86.15384615384616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33" t="s">
        <v>16</v>
      </c>
      <c r="D366" s="732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32"/>
      <c r="C367" s="432"/>
      <c r="D367" s="422"/>
      <c r="E367" s="731" t="s">
        <v>143</v>
      </c>
      <c r="F367" s="432"/>
      <c r="G367" s="730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IFERROR(__xludf.DUMMYFUNCTION("IMPORTRANGE(""https://docs.google.com/spreadsheets/d/1tdoBKaGub7dwA3U6UFTqxio9LNnvDCQjHKmttSEBsFQ/edit?usp=sharing"",""จัดที่ดิน!AB62"")"),6)</f>
        <v>6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IFERROR(__xludf.DUMMYFUNCTION("IMPORTRANGE(""https://docs.google.com/spreadsheets/d/1eHaY18a8A9IcSdp1K8H6x8fbOy06t2VsZHhMHf-1x7Y/edit?usp=sharing"",""แผน!EW62"")"),565)</f>
        <v>565</v>
      </c>
      <c r="J368" s="726">
        <f ca="1">IFERROR(__xludf.DUMMYFUNCTION("IMPORTRANGE(""https://docs.google.com/spreadsheets/d/1tdoBKaGub7dwA3U6UFTqxio9LNnvDCQjHKmttSEBsFQ/edit?usp=sharing"",""จัดที่ดิน!AC62"")"),39.23)</f>
        <v>39.229999999999997</v>
      </c>
      <c r="K368" s="427">
        <f ca="1">IF(I368&gt;0,J368*100/I368,0)</f>
        <v>6.9433628318584066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27" t="s">
        <v>33</v>
      </c>
      <c r="I369" s="426">
        <f ca="1">IFERROR(__xludf.DUMMYFUNCTION("IMPORTRANGE(""https://docs.google.com/spreadsheets/d/1eHaY18a8A9IcSdp1K8H6x8fbOy06t2VsZHhMHf-1x7Y/edit?usp=sharing"",""แผน!EX62"")"),88)</f>
        <v>88</v>
      </c>
      <c r="J369" s="426">
        <f ca="1">IFERROR(__xludf.DUMMYFUNCTION("IMPORTRANGE(""https://docs.google.com/spreadsheets/d/1tdoBKaGub7dwA3U6UFTqxio9LNnvDCQjHKmttSEBsFQ/edit?usp=sharing"",""จัดที่ดิน!AD62"")"),55)</f>
        <v>55</v>
      </c>
      <c r="K369" s="427">
        <f ca="1">IF(I369&gt;0,J369*100/I369,0)</f>
        <v>62.5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27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IFERROR(__xludf.DUMMYFUNCTION("IMPORTRANGE(""https://docs.google.com/spreadsheets/d/1tdoBKaGub7dwA3U6UFTqxio9LNnvDCQjHKmttSEBsFQ/edit?usp=sharing"",""จัดที่ดิน!AE62"")"),679.98)</f>
        <v>679.98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27" t="s">
        <v>33</v>
      </c>
      <c r="I371" s="426">
        <f ca="1">IFERROR(__xludf.DUMMYFUNCTION("IMPORTRANGE(""https://docs.google.com/spreadsheets/d/1eHaY18a8A9IcSdp1K8H6x8fbOy06t2VsZHhMHf-1x7Y/edit?usp=sharing"",""แผน!EY62"")"),65)</f>
        <v>65</v>
      </c>
      <c r="J371" s="426">
        <f ca="1">IFERROR(__xludf.DUMMYFUNCTION("IMPORTRANGE(""https://docs.google.com/spreadsheets/d/1tdoBKaGub7dwA3U6UFTqxio9LNnvDCQjHKmttSEBsFQ/edit?usp=sharing"",""จัดที่ดิน!AF62"")"),56)</f>
        <v>56</v>
      </c>
      <c r="K371" s="427">
        <f ca="1">IF(I371&gt;0,J371*100/I371,0)</f>
        <v>86.15384615384616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27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IFERROR(__xludf.DUMMYFUNCTION("IMPORTRANGE(""https://docs.google.com/spreadsheets/d/1tdoBKaGub7dwA3U6UFTqxio9LNnvDCQjHKmttSEBsFQ/edit?usp=sharing"",""จัดที่ดิน!AG62"")"),728.94)</f>
        <v>728.94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724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1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71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708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1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1"/>
      <c r="D379" s="420"/>
      <c r="E379" s="623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1"/>
      <c r="D380" s="543" t="s">
        <v>20</v>
      </c>
      <c r="E380" s="421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IFERROR(__xludf.DUMMYFUNCTION("IMPORTRANGE(""https://docs.google.com/spreadsheets/d/1-uDff_7J0KD5mKrp0Vvzr7lt3OU09vwQwhkpOPPYv2Y/edit?usp=sharing"",""งบพรบ!FM62"")"),0)</f>
        <v>0</v>
      </c>
      <c r="M382" s="522">
        <f ca="1">IFERROR(__xludf.DUMMYFUNCTION("IMPORTRANGE(""https://docs.google.com/spreadsheets/d/1-uDff_7J0KD5mKrp0Vvzr7lt3OU09vwQwhkpOPPYv2Y/edit?usp=sharing"",""งบพรบ!FR62"")"),0)</f>
        <v>0</v>
      </c>
      <c r="N382" s="522">
        <f ca="1">IFERROR(__xludf.DUMMYFUNCTION("IMPORTRANGE(""https://docs.google.com/spreadsheets/d/1-uDff_7J0KD5mKrp0Vvzr7lt3OU09vwQwhkpOPPYv2Y/edit?usp=sharing"",""งบพรบ!FT62"")"),0)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IFERROR(__xludf.DUMMYFUNCTION("IMPORTRANGE(""https://docs.google.com/spreadsheets/d/1-uDff_7J0KD5mKrp0Vvzr7lt3OU09vwQwhkpOPPYv2Y/edit?usp=sharing"",""งบพรบ!FP62"")"),0)</f>
        <v>0</v>
      </c>
      <c r="M385" s="522">
        <f ca="1">IFERROR(__xludf.DUMMYFUNCTION("IMPORTRANGE(""https://docs.google.com/spreadsheets/d/1-uDff_7J0KD5mKrp0Vvzr7lt3OU09vwQwhkpOPPYv2Y/edit?usp=sharing"",""งบพรบ!FS62"")"),0)</f>
        <v>0</v>
      </c>
      <c r="N385" s="522">
        <f ca="1">IFERROR(__xludf.DUMMYFUNCTION("IMPORTRANGE(""https://docs.google.com/spreadsheets/d/1-uDff_7J0KD5mKrp0Vvzr7lt3OU09vwQwhkpOPPYv2Y/edit?usp=sharing"",""งบพรบ!FU62"")"),0)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3E2A-D942-461C-BD89-F4EEEF709F40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175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1602665</v>
      </c>
      <c r="M18" s="865">
        <f ca="1">M19+M20</f>
        <v>1316165</v>
      </c>
      <c r="N18" s="865">
        <f ca="1">N19+N20</f>
        <v>477384.64</v>
      </c>
      <c r="O18" s="865">
        <f ca="1">IF(L18&gt;0,N18*100/L18,0)</f>
        <v>29.786926151129524</v>
      </c>
      <c r="P18" s="865">
        <f ca="1">IF(M18&gt;0,N18*100/M18,0)</f>
        <v>36.270880930582415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1602665</v>
      </c>
      <c r="M20" s="972">
        <f ca="1">M23+M26</f>
        <v>1316165</v>
      </c>
      <c r="N20" s="972">
        <f ca="1">N23+N26</f>
        <v>477384.64</v>
      </c>
      <c r="O20" s="972">
        <f ca="1">IF(L20&gt;0,N20*100/L20,0)</f>
        <v>29.786926151129524</v>
      </c>
      <c r="P20" s="972">
        <f ca="1">IF(M20&gt;0,N20*100/M20,0)</f>
        <v>36.270880930582415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1602665</v>
      </c>
      <c r="M21" s="427">
        <f ca="1">M22+M23</f>
        <v>1316165</v>
      </c>
      <c r="N21" s="427">
        <f ca="1">N22+N23</f>
        <v>477384.64</v>
      </c>
      <c r="O21" s="427">
        <f ca="1">IF(L21&gt;0,N21*100/L21,0)</f>
        <v>29.786926151129524</v>
      </c>
      <c r="P21" s="427">
        <f ca="1">IF(M21&gt;0,N21*100/M21,0)</f>
        <v>36.270880930582415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1602665</v>
      </c>
      <c r="M23" s="427">
        <f ca="1">M49+M64+M77+M99+M130+M144+M162+M191+M178+M271+M287+M308+M325+M338+M361+M382</f>
        <v>1316165</v>
      </c>
      <c r="N23" s="427">
        <f ca="1">N49+N64+N77+N99+N130+N144+N162+N191+N178+N271+N287+N308+N325+N338+N361+N382</f>
        <v>477384.64</v>
      </c>
      <c r="O23" s="427">
        <f ca="1">IF(L23&gt;0,N23*100/L23,0)</f>
        <v>29.786926151129524</v>
      </c>
      <c r="P23" s="427">
        <f ca="1">IF(M23&gt;0,N23*100/M23,0)</f>
        <v>36.270880930582415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1602665</v>
      </c>
      <c r="M40" s="964">
        <f ca="1">M44+M59+M72+M94+M125+M139+M157+M173+M186+M266+M282+M303+M320+M333+M356</f>
        <v>1316165</v>
      </c>
      <c r="N40" s="964">
        <f ca="1">N44+N59+N72+N94+N125+N139+N157+N173+N186+N266+N282+N303+N320+N333+N356</f>
        <v>477384.64</v>
      </c>
      <c r="O40" s="964">
        <f ca="1">IF(L40&gt;0,N40*100/L40,0)</f>
        <v>29.786926151129524</v>
      </c>
      <c r="P40" s="964">
        <f ca="1">IF(M40&gt;0,N40*100/M40,0)</f>
        <v>36.270880930582415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210650</v>
      </c>
      <c r="M44" s="949">
        <f ca="1">M45+M46</f>
        <v>212900</v>
      </c>
      <c r="N44" s="949">
        <f ca="1">N45+N46</f>
        <v>86250</v>
      </c>
      <c r="O44" s="949">
        <f ca="1">IF(L44&gt;0,N44*100/L44,0)</f>
        <v>40.94469499169238</v>
      </c>
      <c r="P44" s="949">
        <f ca="1">IF(M44&gt;0,N44*100/M44,0)</f>
        <v>40.511977454203851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210650</v>
      </c>
      <c r="M46" s="941">
        <f ca="1">M49+M52</f>
        <v>212900</v>
      </c>
      <c r="N46" s="941">
        <f ca="1">N49+N52</f>
        <v>86250</v>
      </c>
      <c r="O46" s="941">
        <f ca="1">IF(L46&gt;0,N46*100/L46,0)</f>
        <v>40.94469499169238</v>
      </c>
      <c r="P46" s="941">
        <f ca="1">IF(M46&gt;0,N46*100/M46,0)</f>
        <v>40.511977454203851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210650</v>
      </c>
      <c r="M47" s="427">
        <f ca="1">M48+M49</f>
        <v>212900</v>
      </c>
      <c r="N47" s="427">
        <f ca="1">N48+N49</f>
        <v>86250</v>
      </c>
      <c r="O47" s="427">
        <f ca="1">IF(L47&gt;0,N47*100/L47,0)</f>
        <v>40.94469499169238</v>
      </c>
      <c r="P47" s="427">
        <f ca="1">IF(M47&gt;0,N47*100/M47,0)</f>
        <v>40.511977454203851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IFERROR(__xludf.DUMMYFUNCTION("IMPORTRANGE(""https://docs.google.com/spreadsheets/d/1-uDff_7J0KD5mKrp0Vvzr7lt3OU09vwQwhkpOPPYv2Y/edit?usp=sharing"",""งบพรบ!P63"")"),210650)</f>
        <v>210650</v>
      </c>
      <c r="M49" s="427">
        <f ca="1">IFERROR(__xludf.DUMMYFUNCTION("IMPORTRANGE(""https://docs.google.com/spreadsheets/d/1-uDff_7J0KD5mKrp0Vvzr7lt3OU09vwQwhkpOPPYv2Y/edit?usp=sharing"",""งบพรบ!V63"")"),212900)</f>
        <v>212900</v>
      </c>
      <c r="N49" s="427">
        <f ca="1">IFERROR(__xludf.DUMMYFUNCTION("IMPORTRANGE(""https://docs.google.com/spreadsheets/d/1-uDff_7J0KD5mKrp0Vvzr7lt3OU09vwQwhkpOPPYv2Y/edit?usp=sharing"",""งบพรบ!Y63"")"),86250)</f>
        <v>86250</v>
      </c>
      <c r="O49" s="427">
        <f ca="1">IF(L49&gt;0,N49*100/L49,0)</f>
        <v>40.94469499169238</v>
      </c>
      <c r="P49" s="427">
        <f ca="1">IF(M49&gt;0,N49*100/M49,0)</f>
        <v>40.511977454203851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IFERROR(__xludf.DUMMYFUNCTION("IMPORTRANGE(""https://docs.google.com/spreadsheets/d/1-uDff_7J0KD5mKrp0Vvzr7lt3OU09vwQwhkpOPPYv2Y/edit?usp=sharing"",""งบพรบ!S63"")"),0)</f>
        <v>0</v>
      </c>
      <c r="M52" s="427">
        <f ca="1">IFERROR(__xludf.DUMMYFUNCTION("IMPORTRANGE(""https://docs.google.com/spreadsheets/d/1-uDff_7J0KD5mKrp0Vvzr7lt3OU09vwQwhkpOPPYv2Y/edit?usp=sharing"",""งบพรบ!W63"")"),0)</f>
        <v>0</v>
      </c>
      <c r="N52" s="427">
        <f ca="1">IFERROR(__xludf.DUMMYFUNCTION("IMPORTRANGE(""https://docs.google.com/spreadsheets/d/1-uDff_7J0KD5mKrp0Vvzr7lt3OU09vwQwhkpOPPYv2Y/edit?usp=sharing"",""งบพรบ!Z63"")"),0)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230300</v>
      </c>
      <c r="M59" s="921">
        <f ca="1">M60+M61</f>
        <v>174700</v>
      </c>
      <c r="N59" s="921">
        <f ca="1">N60+N61</f>
        <v>63470.64</v>
      </c>
      <c r="O59" s="921">
        <f ca="1">IF(L59&gt;0,N59*100/L59,0)</f>
        <v>27.559982631350412</v>
      </c>
      <c r="P59" s="921">
        <f ca="1">IF(M59&gt;0,N59*100/M59,0)</f>
        <v>36.33121923297081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230300</v>
      </c>
      <c r="M61" s="913">
        <f ca="1">M64+M67</f>
        <v>174700</v>
      </c>
      <c r="N61" s="913">
        <f ca="1">N64+N67</f>
        <v>63470.64</v>
      </c>
      <c r="O61" s="913">
        <f ca="1">IF(L61&gt;0,N61*100/L61,0)</f>
        <v>27.559982631350412</v>
      </c>
      <c r="P61" s="913">
        <f ca="1">IF(M61&gt;0,N61*100/M61,0)</f>
        <v>36.33121923297081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230300</v>
      </c>
      <c r="M62" s="427">
        <f ca="1">M63+M64</f>
        <v>174700</v>
      </c>
      <c r="N62" s="427">
        <f ca="1">N63+N64</f>
        <v>63470.64</v>
      </c>
      <c r="O62" s="427">
        <f ca="1">IF(L62&gt;0,N62*100/L62,0)</f>
        <v>27.559982631350412</v>
      </c>
      <c r="P62" s="427">
        <f ca="1">IF(M62&gt;0,N62*100/M62,0)</f>
        <v>36.33121923297081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IFERROR(__xludf.DUMMYFUNCTION("IMPORTRANGE(""https://docs.google.com/spreadsheets/d/1-uDff_7J0KD5mKrp0Vvzr7lt3OU09vwQwhkpOPPYv2Y/edit?usp=sharing"",""งบพรบ!AC63"")"),230300)</f>
        <v>230300</v>
      </c>
      <c r="M64" s="427">
        <f ca="1">IFERROR(__xludf.DUMMYFUNCTION("IMPORTRANGE(""https://docs.google.com/spreadsheets/d/1-uDff_7J0KD5mKrp0Vvzr7lt3OU09vwQwhkpOPPYv2Y/edit?usp=sharing"",""งบพรบ!AH63"")"),174700)</f>
        <v>174700</v>
      </c>
      <c r="N64" s="427">
        <f ca="1">IFERROR(__xludf.DUMMYFUNCTION("IMPORTRANGE(""https://docs.google.com/spreadsheets/d/1-uDff_7J0KD5mKrp0Vvzr7lt3OU09vwQwhkpOPPYv2Y/edit?usp=sharing"",""งบพรบ!AJ63"")"),63470.64)</f>
        <v>63470.64</v>
      </c>
      <c r="O64" s="427">
        <f ca="1">IF(L64&gt;0,N64*100/L64,0)</f>
        <v>27.559982631350412</v>
      </c>
      <c r="P64" s="427">
        <f ca="1">IF(M64&gt;0,N64*100/M64,0)</f>
        <v>36.33121923297081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IFERROR(__xludf.DUMMYFUNCTION("IMPORTRANGE(""https://docs.google.com/spreadsheets/d/1-uDff_7J0KD5mKrp0Vvzr7lt3OU09vwQwhkpOPPYv2Y/edit?usp=sharing"",""งบพรบ!AF63"")"),0)</f>
        <v>0</v>
      </c>
      <c r="M67" s="644">
        <f ca="1">IFERROR(__xludf.DUMMYFUNCTION("IMPORTRANGE(""https://docs.google.com/spreadsheets/d/1-uDff_7J0KD5mKrp0Vvzr7lt3OU09vwQwhkpOPPYv2Y/edit?usp=sharing"",""งบพรบ!AI63"")"),0)</f>
        <v>0</v>
      </c>
      <c r="N67" s="644">
        <f ca="1">IFERROR(__xludf.DUMMYFUNCTION("IMPORTRANGE(""https://docs.google.com/spreadsheets/d/1-uDff_7J0KD5mKrp0Vvzr7lt3OU09vwQwhkpOPPYv2Y/edit?usp=sharing"",""งบพรบ!AK63"")"),0)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IFERROR(__xludf.DUMMYFUNCTION("IMPORTRANGE(""https://docs.google.com/spreadsheets/d/1-uDff_7J0KD5mKrp0Vvzr7lt3OU09vwQwhkpOPPYv2Y/edit?usp=sharing"",""งบพรบ!AM63"")"),0)</f>
        <v>0</v>
      </c>
      <c r="M77" s="427">
        <f ca="1">IFERROR(__xludf.DUMMYFUNCTION("IMPORTRANGE(""https://docs.google.com/spreadsheets/d/1-uDff_7J0KD5mKrp0Vvzr7lt3OU09vwQwhkpOPPYv2Y/edit?usp=sharing"",""งบพรบ!AR63"")"),0)</f>
        <v>0</v>
      </c>
      <c r="N77" s="427">
        <f ca="1">IFERROR(__xludf.DUMMYFUNCTION("IMPORTRANGE(""https://docs.google.com/spreadsheets/d/1-uDff_7J0KD5mKrp0Vvzr7lt3OU09vwQwhkpOPPYv2Y/edit?usp=sharing"",""งบพรบ!AT63"")"),0)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IFERROR(__xludf.DUMMYFUNCTION("IMPORTRANGE(""https://docs.google.com/spreadsheets/d/1-uDff_7J0KD5mKrp0Vvzr7lt3OU09vwQwhkpOPPYv2Y/edit?usp=sharing"",""งบพรบ!AP63"")"),0)</f>
        <v>0</v>
      </c>
      <c r="M80" s="427">
        <f ca="1">IFERROR(__xludf.DUMMYFUNCTION("IMPORTRANGE(""https://docs.google.com/spreadsheets/d/1-uDff_7J0KD5mKrp0Vvzr7lt3OU09vwQwhkpOPPYv2Y/edit?usp=sharing"",""งบพรบ!AS63"")"),0)</f>
        <v>0</v>
      </c>
      <c r="N80" s="427">
        <f ca="1">IFERROR(__xludf.DUMMYFUNCTION("IMPORTRANGE(""https://docs.google.com/spreadsheets/d/1-uDff_7J0KD5mKrp0Vvzr7lt3OU09vwQwhkpOPPYv2Y/edit?usp=sharing"",""งบพรบ!AU63"")"),0)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IFERROR(__xludf.DUMMYFUNCTION("IMPORTRANGE(""https://docs.google.com/spreadsheets/d/1eHaY18a8A9IcSdp1K8H6x8fbOy06t2VsZHhMHf-1x7Y/edit?usp=sharing"",""แผน!H63"")"),0)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IFERROR(__xludf.DUMMYFUNCTION("IMPORTRANGE(""https://docs.google.com/spreadsheets/d/1eHaY18a8A9IcSdp1K8H6x8fbOy06t2VsZHhMHf-1x7Y/edit?usp=sharing"",""แผน!I63"")"),0)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IFERROR(__xludf.DUMMYFUNCTION("IMPORTRANGE(""https://docs.google.com/spreadsheets/d/1eHaY18a8A9IcSdp1K8H6x8fbOy06t2VsZHhMHf-1x7Y/edit?usp=sharing"",""แผน!F63"")"),0)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IFERROR(__xludf.DUMMYFUNCTION("IMPORTRANGE(""https://docs.google.com/spreadsheets/d/1eHaY18a8A9IcSdp1K8H6x8fbOy06t2VsZHhMHf-1x7Y/edit?usp=sharing"",""แผน!G63"")"),0)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IFERROR(__xludf.DUMMYFUNCTION("IMPORTRANGE(""https://docs.google.com/spreadsheets/d/1eHaY18a8A9IcSdp1K8H6x8fbOy06t2VsZHhMHf-1x7Y/edit?usp=sharing"",""แผน!D63"")"),0)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IFERROR(__xludf.DUMMYFUNCTION("IMPORTRANGE(""https://docs.google.com/spreadsheets/d/1eHaY18a8A9IcSdp1K8H6x8fbOy06t2VsZHhMHf-1x7Y/edit?usp=sharing"",""แผน!E63"")"),0)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IFERROR(__xludf.DUMMYFUNCTION("IMPORTRANGE(""https://docs.google.com/spreadsheets/d/1eHaY18a8A9IcSdp1K8H6x8fbOy06t2VsZHhMHf-1x7Y/edit?usp=sharing"",""แผน!J63"")"),0)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93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31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205600</v>
      </c>
      <c r="M94" s="737">
        <f ca="1">M95+M96</f>
        <v>183900</v>
      </c>
      <c r="N94" s="737">
        <f ca="1">N95+N96</f>
        <v>108464</v>
      </c>
      <c r="O94" s="737">
        <f ca="1">IF(L94&gt;0,N94*100/L94,0)</f>
        <v>52.754863813229569</v>
      </c>
      <c r="P94" s="737">
        <f ca="1">IF(M94&gt;0,N94*100/M94,0)</f>
        <v>58.979880369766178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205600</v>
      </c>
      <c r="M96" s="427">
        <f ca="1">M99+M102</f>
        <v>183900</v>
      </c>
      <c r="N96" s="427">
        <f ca="1">N99+N102</f>
        <v>108464</v>
      </c>
      <c r="O96" s="427">
        <f ca="1">IF(L96&gt;0,N96*100/L96,0)</f>
        <v>52.754863813229569</v>
      </c>
      <c r="P96" s="427">
        <f ca="1">IF(M96&gt;0,N96*100/M96,0)</f>
        <v>58.979880369766178</v>
      </c>
    </row>
    <row r="97" spans="1:16" ht="18.75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205600</v>
      </c>
      <c r="M97" s="427">
        <f ca="1">M98+M99</f>
        <v>183900</v>
      </c>
      <c r="N97" s="427">
        <f ca="1">N98+N99</f>
        <v>108464</v>
      </c>
      <c r="O97" s="427">
        <f ca="1">IF(L97&gt;0,N97*100/L97,0)</f>
        <v>52.754863813229569</v>
      </c>
      <c r="P97" s="427">
        <f ca="1">IF(M97&gt;0,N97*100/M97,0)</f>
        <v>58.979880369766178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IFERROR(__xludf.DUMMYFUNCTION("IMPORTRANGE(""https://docs.google.com/spreadsheets/d/1-uDff_7J0KD5mKrp0Vvzr7lt3OU09vwQwhkpOPPYv2Y/edit?usp=sharing"",""งบพรบ!AW63"")"),205600)</f>
        <v>205600</v>
      </c>
      <c r="M99" s="427">
        <f ca="1">IFERROR(__xludf.DUMMYFUNCTION("IMPORTRANGE(""https://docs.google.com/spreadsheets/d/1-uDff_7J0KD5mKrp0Vvzr7lt3OU09vwQwhkpOPPYv2Y/edit?usp=sharing"",""งบพรบ!BB63"")"),183900)</f>
        <v>183900</v>
      </c>
      <c r="N99" s="427">
        <f ca="1">IFERROR(__xludf.DUMMYFUNCTION("IMPORTRANGE(""https://docs.google.com/spreadsheets/d/1-uDff_7J0KD5mKrp0Vvzr7lt3OU09vwQwhkpOPPYv2Y/edit?usp=sharing"",""งบพรบ!BD63"")"),108464)</f>
        <v>108464</v>
      </c>
      <c r="O99" s="427">
        <f ca="1">IF(L99&gt;0,N99*100/L99,0)</f>
        <v>52.754863813229569</v>
      </c>
      <c r="P99" s="427">
        <f ca="1">IF(M99&gt;0,N99*100/M99,0)</f>
        <v>58.979880369766178</v>
      </c>
    </row>
    <row r="100" spans="1:16" ht="18.75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IFERROR(__xludf.DUMMYFUNCTION("IMPORTRANGE(""https://docs.google.com/spreadsheets/d/1-uDff_7J0KD5mKrp0Vvzr7lt3OU09vwQwhkpOPPYv2Y/edit?usp=sharing"",""งบพรบ!AZ63"")"),0)</f>
        <v>0</v>
      </c>
      <c r="M102" s="427">
        <f ca="1">IFERROR(__xludf.DUMMYFUNCTION("IMPORTRANGE(""https://docs.google.com/spreadsheets/d/1-uDff_7J0KD5mKrp0Vvzr7lt3OU09vwQwhkpOPPYv2Y/edit?usp=sharing"",""งบพรบ!BC63"")"),0)</f>
        <v>0</v>
      </c>
      <c r="N102" s="427">
        <f ca="1">IFERROR(__xludf.DUMMYFUNCTION("IMPORTRANGE(""https://docs.google.com/spreadsheets/d/1-uDff_7J0KD5mKrp0Vvzr7lt3OU09vwQwhkpOPPYv2Y/edit?usp=sharing"",""งบพรบ!BE63"")"),0)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IFERROR(__xludf.DUMMYFUNCTION("IMPORTRANGE(""https://docs.google.com/spreadsheets/d/1eHaY18a8A9IcSdp1K8H6x8fbOy06t2VsZHhMHf-1x7Y/edit?usp=sharing"",""แผน!N63"")"),93)</f>
        <v>93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IFERROR(__xludf.DUMMYFUNCTION("IMPORTRANGE(""https://docs.google.com/spreadsheets/d/1eHaY18a8A9IcSdp1K8H6x8fbOy06t2VsZHhMHf-1x7Y/edit?usp=sharing"",""แผน!O63"")"),31)</f>
        <v>31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IFERROR(__xludf.DUMMYFUNCTION("IMPORTRANGE(""https://docs.google.com/spreadsheets/d/1eHaY18a8A9IcSdp1K8H6x8fbOy06t2VsZHhMHf-1x7Y/edit?usp=sharing"",""แผน!R63"")"),31)</f>
        <v>31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IFERROR(__xludf.DUMMYFUNCTION("IMPORTRANGE(""https://docs.google.com/spreadsheets/d/1-uDff_7J0KD5mKrp0Vvzr7lt3OU09vwQwhkpOPPYv2Y/edit?usp=sharing"",""งบพรบ!BG63"")"),0)</f>
        <v>0</v>
      </c>
      <c r="M130" s="886">
        <f ca="1">IFERROR(__xludf.DUMMYFUNCTION("IMPORTRANGE(""https://docs.google.com/spreadsheets/d/1-uDff_7J0KD5mKrp0Vvzr7lt3OU09vwQwhkpOPPYv2Y/edit?usp=sharing"",""งบพรบ!BL63"")"),0)</f>
        <v>0</v>
      </c>
      <c r="N130" s="886">
        <f ca="1">IFERROR(__xludf.DUMMYFUNCTION("IMPORTRANGE(""https://docs.google.com/spreadsheets/d/1-uDff_7J0KD5mKrp0Vvzr7lt3OU09vwQwhkpOPPYv2Y/edit?usp=sharing"",""งบพรบ!BN63"")"),0)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IFERROR(__xludf.DUMMYFUNCTION("IMPORTRANGE(""https://docs.google.com/spreadsheets/d/1-uDff_7J0KD5mKrp0Vvzr7lt3OU09vwQwhkpOPPYv2Y/edit?usp=sharing"",""งบพรบ!BJ63"")"),0)</f>
        <v>0</v>
      </c>
      <c r="M133" s="886">
        <f ca="1">IFERROR(__xludf.DUMMYFUNCTION("IMPORTRANGE(""https://docs.google.com/spreadsheets/d/1-uDff_7J0KD5mKrp0Vvzr7lt3OU09vwQwhkpOPPYv2Y/edit?usp=sharing"",""งบพรบ!BM63"")"),0)</f>
        <v>0</v>
      </c>
      <c r="N133" s="886">
        <f ca="1">IFERROR(__xludf.DUMMYFUNCTION("IMPORTRANGE(""https://docs.google.com/spreadsheets/d/1-uDff_7J0KD5mKrp0Vvzr7lt3OU09vwQwhkpOPPYv2Y/edit?usp=sharing"",""งบพรบ!BO63"")"),0)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50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5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56500</v>
      </c>
      <c r="M139" s="737">
        <f ca="1">M140+M141</f>
        <v>51500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56500</v>
      </c>
      <c r="M141" s="427">
        <f ca="1">M144+M147</f>
        <v>51500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56500</v>
      </c>
      <c r="M142" s="427">
        <f ca="1">M143+M144</f>
        <v>51500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IFERROR(__xludf.DUMMYFUNCTION("IMPORTRANGE(""https://docs.google.com/spreadsheets/d/1-uDff_7J0KD5mKrp0Vvzr7lt3OU09vwQwhkpOPPYv2Y/edit?usp=sharing"",""งบพรบ!BQ63"")"),56500)</f>
        <v>56500</v>
      </c>
      <c r="M144" s="427">
        <f ca="1">IFERROR(__xludf.DUMMYFUNCTION("IMPORTRANGE(""https://docs.google.com/spreadsheets/d/1-uDff_7J0KD5mKrp0Vvzr7lt3OU09vwQwhkpOPPYv2Y/edit?usp=sharing"",""งบพรบ!BV63"")"),51500)</f>
        <v>51500</v>
      </c>
      <c r="N144" s="427">
        <f ca="1">IFERROR(__xludf.DUMMYFUNCTION("IMPORTRANGE(""https://docs.google.com/spreadsheets/d/1-uDff_7J0KD5mKrp0Vvzr7lt3OU09vwQwhkpOPPYv2Y/edit?usp=sharing"",""งบพรบ!BX63"")"),0)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IFERROR(__xludf.DUMMYFUNCTION("IMPORTRANGE(""https://docs.google.com/spreadsheets/d/1-uDff_7J0KD5mKrp0Vvzr7lt3OU09vwQwhkpOPPYv2Y/edit?usp=sharing"",""งบพรบ!BT63"")"),0)</f>
        <v>0</v>
      </c>
      <c r="M147" s="427">
        <f ca="1">IFERROR(__xludf.DUMMYFUNCTION("IMPORTRANGE(""https://docs.google.com/spreadsheets/d/1-uDff_7J0KD5mKrp0Vvzr7lt3OU09vwQwhkpOPPYv2Y/edit?usp=sharing"",""งบพรบ!BW63"")"),0)</f>
        <v>0</v>
      </c>
      <c r="N147" s="427">
        <f ca="1">IFERROR(__xludf.DUMMYFUNCTION("IMPORTRANGE(""https://docs.google.com/spreadsheets/d/1-uDff_7J0KD5mKrp0Vvzr7lt3OU09vwQwhkpOPPYv2Y/edit?usp=sharing"",""งบพรบ!BY63"")"),0)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IFERROR(__xludf.DUMMYFUNCTION("IMPORTRANGE(""https://docs.google.com/spreadsheets/d/1eHaY18a8A9IcSdp1K8H6x8fbOy06t2VsZHhMHf-1x7Y/edit?usp=sharing"",""แผน!U63"")"),0)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IFERROR(__xludf.DUMMYFUNCTION("IMPORTRANGE(""https://docs.google.com/spreadsheets/d/1eHaY18a8A9IcSdp1K8H6x8fbOy06t2VsZHhMHf-1x7Y/edit?usp=sharing"",""แผน!V63"")"),0)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IFERROR(__xludf.DUMMYFUNCTION("IMPORTRANGE(""https://docs.google.com/spreadsheets/d/1eHaY18a8A9IcSdp1K8H6x8fbOy06t2VsZHhMHf-1x7Y/edit?usp=sharing"",""แผน!W63"")"),50)</f>
        <v>50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IFERROR(__xludf.DUMMYFUNCTION("IMPORTRANGE(""https://docs.google.com/spreadsheets/d/1eHaY18a8A9IcSdp1K8H6x8fbOy06t2VsZHhMHf-1x7Y/edit?usp=sharing"",""แผน!X63"")"),5)</f>
        <v>5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IFERROR(__xludf.DUMMYFUNCTION("IMPORTRANGE(""https://docs.google.com/spreadsheets/d/1eHaY18a8A9IcSdp1K8H6x8fbOy06t2VsZHhMHf-1x7Y/edit?usp=sharing"",""แผน!Y63"")"),0)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IFERROR(__xludf.DUMMYFUNCTION("IMPORTRANGE(""https://docs.google.com/spreadsheets/d/1-uDff_7J0KD5mKrp0Vvzr7lt3OU09vwQwhkpOPPYv2Y/edit?usp=sharing"",""งบพรบ!CA63"")"),0)</f>
        <v>0</v>
      </c>
      <c r="M162" s="427">
        <f ca="1">IFERROR(__xludf.DUMMYFUNCTION("IMPORTRANGE(""https://docs.google.com/spreadsheets/d/1-uDff_7J0KD5mKrp0Vvzr7lt3OU09vwQwhkpOPPYv2Y/edit?usp=sharing"",""งบพรบ!CF63"")"),0)</f>
        <v>0</v>
      </c>
      <c r="N162" s="427">
        <f ca="1">IFERROR(__xludf.DUMMYFUNCTION("IMPORTRANGE(""https://docs.google.com/spreadsheets/d/1-uDff_7J0KD5mKrp0Vvzr7lt3OU09vwQwhkpOPPYv2Y/edit?usp=sharing"",""งบพรบ!CH63"")"),0)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IFERROR(__xludf.DUMMYFUNCTION("IMPORTRANGE(""https://docs.google.com/spreadsheets/d/1-uDff_7J0KD5mKrp0Vvzr7lt3OU09vwQwhkpOPPYv2Y/edit?usp=sharing"",""งบพรบ!CD63"")"),0)</f>
        <v>0</v>
      </c>
      <c r="M165" s="427">
        <f ca="1">IFERROR(__xludf.DUMMYFUNCTION("IMPORTRANGE(""https://docs.google.com/spreadsheets/d/1-uDff_7J0KD5mKrp0Vvzr7lt3OU09vwQwhkpOPPYv2Y/edit?usp=sharing"",""งบพรบ!CG63"")"),0)</f>
        <v>0</v>
      </c>
      <c r="N165" s="427">
        <f ca="1">IFERROR(__xludf.DUMMYFUNCTION("IMPORTRANGE(""https://docs.google.com/spreadsheets/d/1-uDff_7J0KD5mKrp0Vvzr7lt3OU09vwQwhkpOPPYv2Y/edit?usp=sharing"",""งบพรบ!CI63"")"),0)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IFERROR(__xludf.DUMMYFUNCTION("IMPORTRANGE(""https://docs.google.com/spreadsheets/d/1eHaY18a8A9IcSdp1K8H6x8fbOy06t2VsZHhMHf-1x7Y/edit?usp=sharing"",""แผน!Z63"")"),0)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IFERROR(__xludf.DUMMYFUNCTION("IMPORTRANGE(""https://docs.google.com/spreadsheets/d/1eHaY18a8A9IcSdp1K8H6x8fbOy06t2VsZHhMHf-1x7Y/edit?usp=sharing"",""แผน!Z63"")"),0)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IFERROR(__xludf.DUMMYFUNCTION("IMPORTRANGE(""https://docs.google.com/spreadsheets/d/1eHaY18a8A9IcSdp1K8H6x8fbOy06t2VsZHhMHf-1x7Y/edit?usp=sharing"",""แผน!Z63"")"),0)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18440</v>
      </c>
      <c r="O173" s="737">
        <f ca="1">IF(L173&gt;0,N173*100/L173,0)</f>
        <v>94.129657988769779</v>
      </c>
      <c r="P173" s="737">
        <f ca="1">IF(M173&gt;0,N173*100/M173,0)</f>
        <v>94.129657988769779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18440</v>
      </c>
      <c r="O175" s="427">
        <f ca="1">IF(L175&gt;0,N175*100/L175,0)</f>
        <v>94.129657988769779</v>
      </c>
      <c r="P175" s="427">
        <f ca="1">IF(M175&gt;0,N175*100/M175,0)</f>
        <v>94.129657988769779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18440</v>
      </c>
      <c r="O176" s="427">
        <f ca="1">IF(L176&gt;0,N176*100/L176,0)</f>
        <v>94.129657988769779</v>
      </c>
      <c r="P176" s="427">
        <f ca="1">IF(M176&gt;0,N176*100/M176,0)</f>
        <v>94.129657988769779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IFERROR(__xludf.DUMMYFUNCTION("IMPORTRANGE(""https://docs.google.com/spreadsheets/d/1-uDff_7J0KD5mKrp0Vvzr7lt3OU09vwQwhkpOPPYv2Y/edit?usp=sharing"",""งบพรบ!CK63"")"),19590)</f>
        <v>19590</v>
      </c>
      <c r="M178" s="427">
        <f ca="1">IFERROR(__xludf.DUMMYFUNCTION("IMPORTRANGE(""https://docs.google.com/spreadsheets/d/1-uDff_7J0KD5mKrp0Vvzr7lt3OU09vwQwhkpOPPYv2Y/edit?usp=sharing"",""งบพรบ!CP63"")"),19590)</f>
        <v>19590</v>
      </c>
      <c r="N178" s="427">
        <f ca="1">IFERROR(__xludf.DUMMYFUNCTION("IMPORTRANGE(""https://docs.google.com/spreadsheets/d/1-uDff_7J0KD5mKrp0Vvzr7lt3OU09vwQwhkpOPPYv2Y/edit?usp=sharing"",""งบพรบ!CR63"")"),18440)</f>
        <v>18440</v>
      </c>
      <c r="O178" s="427">
        <f ca="1">IF(L178&gt;0,N178*100/L178,0)</f>
        <v>94.129657988769779</v>
      </c>
      <c r="P178" s="427">
        <f ca="1">IF(M178&gt;0,N178*100/M178,0)</f>
        <v>94.129657988769779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IFERROR(__xludf.DUMMYFUNCTION("IMPORTRANGE(""https://docs.google.com/spreadsheets/d/1-uDff_7J0KD5mKrp0Vvzr7lt3OU09vwQwhkpOPPYv2Y/edit?usp=sharing"",""งบพรบ!CN63"")"),0)</f>
        <v>0</v>
      </c>
      <c r="M181" s="427">
        <f ca="1">IFERROR(__xludf.DUMMYFUNCTION("IMPORTRANGE(""https://docs.google.com/spreadsheets/d/1-uDff_7J0KD5mKrp0Vvzr7lt3OU09vwQwhkpOPPYv2Y/edit?usp=sharing"",""งบพรบ!CQ63"")"),0)</f>
        <v>0</v>
      </c>
      <c r="N181" s="427">
        <f ca="1">IFERROR(__xludf.DUMMYFUNCTION("IMPORTRANGE(""https://docs.google.com/spreadsheets/d/1-uDff_7J0KD5mKrp0Vvzr7lt3OU09vwQwhkpOPPYv2Y/edit?usp=sharing"",""งบพรบ!CS63"")"),0)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IFERROR(__xludf.DUMMYFUNCTION("IMPORTRANGE(""https://docs.google.com/spreadsheets/d/1eHaY18a8A9IcSdp1K8H6x8fbOy06t2VsZHhMHf-1x7Y/edit?usp=sharing"",""แผน!AA63"")"),7)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20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78100</v>
      </c>
      <c r="M186" s="737">
        <f ca="1">M187+M188</f>
        <v>64100</v>
      </c>
      <c r="N186" s="737">
        <f ca="1">N187+N188</f>
        <v>20360</v>
      </c>
      <c r="O186" s="737">
        <f ca="1">IF(L186&gt;0,N186*100/L186,0)</f>
        <v>26.069142125480155</v>
      </c>
      <c r="P186" s="737">
        <f ca="1">IF(M186&gt;0,N186*100/M186,0)</f>
        <v>31.762870514820595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78100</v>
      </c>
      <c r="M188" s="427">
        <f ca="1">M191+M194</f>
        <v>64100</v>
      </c>
      <c r="N188" s="427">
        <f ca="1">N191+N194</f>
        <v>20360</v>
      </c>
      <c r="O188" s="427">
        <f ca="1">IF(L188&gt;0,N188*100/L188,0)</f>
        <v>26.069142125480155</v>
      </c>
      <c r="P188" s="427">
        <f ca="1">IF(M188&gt;0,N188*100/M188,0)</f>
        <v>31.762870514820595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78100</v>
      </c>
      <c r="M189" s="427">
        <f ca="1">M190+M191</f>
        <v>64100</v>
      </c>
      <c r="N189" s="427">
        <f ca="1">N190+N191</f>
        <v>20360</v>
      </c>
      <c r="O189" s="427">
        <f ca="1">IF(L189&gt;0,N189*100/L189,0)</f>
        <v>26.069142125480155</v>
      </c>
      <c r="P189" s="427">
        <f ca="1">IF(M189&gt;0,N189*100/M189,0)</f>
        <v>31.762870514820595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IFERROR(__xludf.DUMMYFUNCTION("IMPORTRANGE(""https://docs.google.com/spreadsheets/d/1-uDff_7J0KD5mKrp0Vvzr7lt3OU09vwQwhkpOPPYv2Y/edit?usp=sharing"",""งบพรบ!CU63"")"),78100)</f>
        <v>78100</v>
      </c>
      <c r="M191" s="427">
        <f ca="1">IFERROR(__xludf.DUMMYFUNCTION("IMPORTRANGE(""https://docs.google.com/spreadsheets/d/1-uDff_7J0KD5mKrp0Vvzr7lt3OU09vwQwhkpOPPYv2Y/edit?usp=sharing"",""งบพรบ!CZ63"")"),64100)</f>
        <v>64100</v>
      </c>
      <c r="N191" s="427">
        <f ca="1">IFERROR(__xludf.DUMMYFUNCTION("IMPORTRANGE(""https://docs.google.com/spreadsheets/d/1-uDff_7J0KD5mKrp0Vvzr7lt3OU09vwQwhkpOPPYv2Y/edit?usp=sharing"",""งบพรบ!DB63"")"),20360)</f>
        <v>20360</v>
      </c>
      <c r="O191" s="427">
        <f ca="1">IF(L191&gt;0,N191*100/L191,0)</f>
        <v>26.069142125480155</v>
      </c>
      <c r="P191" s="427">
        <f ca="1">IF(M191&gt;0,N191*100/M191,0)</f>
        <v>31.762870514820595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IFERROR(__xludf.DUMMYFUNCTION("IMPORTRANGE(""https://docs.google.com/spreadsheets/d/1-uDff_7J0KD5mKrp0Vvzr7lt3OU09vwQwhkpOPPYv2Y/edit?usp=sharing"",""งบพรบ!CX63"")"),0)</f>
        <v>0</v>
      </c>
      <c r="M194" s="427">
        <f ca="1">IFERROR(__xludf.DUMMYFUNCTION("IMPORTRANGE(""https://docs.google.com/spreadsheets/d/1-uDff_7J0KD5mKrp0Vvzr7lt3OU09vwQwhkpOPPYv2Y/edit?usp=sharing"",""งบพรบ!DA63"")"),0)</f>
        <v>0</v>
      </c>
      <c r="N194" s="427">
        <f ca="1">IFERROR(__xludf.DUMMYFUNCTION("IMPORTRANGE(""https://docs.google.com/spreadsheets/d/1-uDff_7J0KD5mKrp0Vvzr7lt3OU09vwQwhkpOPPYv2Y/edit?usp=sharing"",""งบพรบ!DC63"")"),0)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IFERROR(__xludf.DUMMYFUNCTION("IMPORTRANGE(""https://docs.google.com/spreadsheets/d/1eHaY18a8A9IcSdp1K8H6x8fbOy06t2VsZHhMHf-1x7Y/edit?usp=sharing"",""แผน!AB63"")"),6000)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IFERROR(__xludf.DUMMYFUNCTION("IMPORTRANGE(""https://docs.google.com/spreadsheets/d/1eHaY18a8A9IcSdp1K8H6x8fbOy06t2VsZHhMHf-1x7Y/edit?usp=sharing"",""แผน!AE63"")"),4)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26000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IFERROR(__xludf.DUMMYFUNCTION("IMPORTRANGE(""https://docs.google.com/spreadsheets/d/1eHaY18a8A9IcSdp1K8H6x8fbOy06t2VsZHhMHf-1x7Y/edit?usp=sharing"",""แผน!AG63"")"),2000)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IFERROR(__xludf.DUMMYFUNCTION("IMPORTRANGE(""https://docs.google.com/spreadsheets/d/1eHaY18a8A9IcSdp1K8H6x8fbOy06t2VsZHhMHf-1x7Y/edit?usp=sharing"",""แผน!AH63"")"),0)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IFERROR(__xludf.DUMMYFUNCTION("IMPORTRANGE(""https://docs.google.com/spreadsheets/d/1eHaY18a8A9IcSdp1K8H6x8fbOy06t2VsZHhMHf-1x7Y/edit?usp=sharing"",""แผน!AI63"")"),16000)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IFERROR(__xludf.DUMMYFUNCTION("IMPORTRANGE(""https://docs.google.com/spreadsheets/d/1eHaY18a8A9IcSdp1K8H6x8fbOy06t2VsZHhMHf-1x7Y/edit?usp=sharing"",""แผน!AJ63"")"),8000)</f>
        <v>8000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IFERROR(__xludf.DUMMYFUNCTION("IMPORTRANGE(""https://docs.google.com/spreadsheets/d/1eHaY18a8A9IcSdp1K8H6x8fbOy06t2VsZHhMHf-1x7Y/edit?usp=sharing"",""แผน!AK63"")"),2)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IFERROR(__xludf.DUMMYFUNCTION("IMPORTRANGE(""https://docs.google.com/spreadsheets/d/1eHaY18a8A9IcSdp1K8H6x8fbOy06t2VsZHhMHf-1x7Y/edit?usp=sharing"",""แผน!JX63"")"),2)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IFERROR(__xludf.DUMMYFUNCTION("IMPORTRANGE(""https://docs.google.com/spreadsheets/d/1eHaY18a8A9IcSdp1K8H6x8fbOy06t2VsZHhMHf-1x7Y/edit?usp=sharing"",""แผน!JY63"")"),0)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IFERROR(__xludf.DUMMYFUNCTION("IMPORTRANGE(""https://docs.google.com/spreadsheets/d/1eHaY18a8A9IcSdp1K8H6x8fbOy06t2VsZHhMHf-1x7Y/edit?usp=sharing"",""แผน!AM63"")"),0)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IFERROR(__xludf.DUMMYFUNCTION("IMPORTRANGE(""https://docs.google.com/spreadsheets/d/1eHaY18a8A9IcSdp1K8H6x8fbOy06t2VsZHhMHf-1x7Y/edit?usp=sharing"",""แผน!AN63"")"),0)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IFERROR(__xludf.DUMMYFUNCTION("IMPORTRANGE(""https://docs.google.com/spreadsheets/d/1eHaY18a8A9IcSdp1K8H6x8fbOy06t2VsZHhMHf-1x7Y/edit?usp=sharing"",""แผน!AO63"")"),0)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IFERROR(__xludf.DUMMYFUNCTION("IMPORTRANGE(""https://docs.google.com/spreadsheets/d/1eHaY18a8A9IcSdp1K8H6x8fbOy06t2VsZHhMHf-1x7Y/edit?usp=sharing"",""แผน!AP63"")"),0)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IFERROR(__xludf.DUMMYFUNCTION("IMPORTRANGE(""https://docs.google.com/spreadsheets/d/1eHaY18a8A9IcSdp1K8H6x8fbOy06t2VsZHhMHf-1x7Y/edit?usp=sharing"",""แผน!AP63"")"),0)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IFERROR(__xludf.DUMMYFUNCTION("IMPORTRANGE(""https://docs.google.com/spreadsheets/d/1eHaY18a8A9IcSdp1K8H6x8fbOy06t2VsZHhMHf-1x7Y/edit?usp=sharing"",""แผน!AR63"")"),3000)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IFERROR(__xludf.DUMMYFUNCTION("IMPORTRANGE(""https://docs.google.com/spreadsheets/d/1eHaY18a8A9IcSdp1K8H6x8fbOy06t2VsZHhMHf-1x7Y/edit?usp=sharing"",""แผน!AS63"")"),1500)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IFERROR(__xludf.DUMMYFUNCTION("IMPORTRANGE(""https://docs.google.com/spreadsheets/d/1eHaY18a8A9IcSdp1K8H6x8fbOy06t2VsZHhMHf-1x7Y/edit?usp=sharing"",""แผน!AT63"")"),0)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IFERROR(__xludf.DUMMYFUNCTION("IMPORTRANGE(""https://docs.google.com/spreadsheets/d/1eHaY18a8A9IcSdp1K8H6x8fbOy06t2VsZHhMHf-1x7Y/edit?usp=sharing"",""แผน!AV63"")"),20000)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IFERROR(__xludf.DUMMYFUNCTION("IMPORTRANGE(""https://docs.google.com/spreadsheets/d/1eHaY18a8A9IcSdp1K8H6x8fbOy06t2VsZHhMHf-1x7Y/edit?usp=sharing"",""แผน!AV63"")"),20000)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IFERROR(__xludf.DUMMYFUNCTION("IMPORTRANGE(""https://docs.google.com/spreadsheets/d/1eHaY18a8A9IcSdp1K8H6x8fbOy06t2VsZHhMHf-1x7Y/edit?usp=sharing"",""แผน!AU63"")"),0)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61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20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6"/>
      <c r="C232" s="53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41600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6"/>
      <c r="D233" s="1009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5000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623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623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15600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540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19000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533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603" t="s">
        <v>33</v>
      </c>
      <c r="I238" s="201">
        <f ca="1">I249+I260</f>
        <v>20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533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603" t="s">
        <v>33</v>
      </c>
      <c r="I240" s="201">
        <f ca="1">I251+I262</f>
        <v>20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603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434"/>
      <c r="B242" s="436"/>
      <c r="C242" s="848" t="s">
        <v>174</v>
      </c>
      <c r="D242" s="435"/>
      <c r="E242" s="435"/>
      <c r="F242" s="435"/>
      <c r="G242" s="438"/>
      <c r="H242" s="439" t="s">
        <v>33</v>
      </c>
      <c r="I242" s="440">
        <f ca="1">I249</f>
        <v>20</v>
      </c>
      <c r="J242" s="440">
        <f>J249</f>
        <v>0</v>
      </c>
      <c r="K242" s="441">
        <f ca="1">IF(I242&gt;0,J242*100/I242,0)</f>
        <v>0</v>
      </c>
      <c r="L242" s="575"/>
      <c r="M242" s="575"/>
      <c r="N242" s="575"/>
      <c r="O242" s="575"/>
      <c r="P242" s="575"/>
    </row>
    <row r="243" spans="1:16" ht="19.5" x14ac:dyDescent="0.3">
      <c r="A243" s="706"/>
      <c r="B243" s="420"/>
      <c r="C243" s="740" t="s">
        <v>16</v>
      </c>
      <c r="D243" s="739" t="s">
        <v>17</v>
      </c>
      <c r="E243" s="420"/>
      <c r="F243" s="420"/>
      <c r="G243" s="424"/>
      <c r="H243" s="841" t="s">
        <v>12</v>
      </c>
      <c r="I243" s="701"/>
      <c r="J243" s="701"/>
      <c r="K243" s="700"/>
      <c r="L243" s="737">
        <f ca="1">L244+L245+L246+L247</f>
        <v>41600</v>
      </c>
      <c r="M243" s="430"/>
      <c r="N243" s="737">
        <f>N244+N245+N246+N247</f>
        <v>0</v>
      </c>
      <c r="O243" s="737">
        <f ca="1">IF(L243&gt;0,N243*100/L243,0)</f>
        <v>0</v>
      </c>
      <c r="P243" s="737">
        <f>IF(M243&gt;0,N243*100/M243,0)</f>
        <v>0</v>
      </c>
    </row>
    <row r="244" spans="1:16" ht="18.75" x14ac:dyDescent="0.25">
      <c r="A244" s="706"/>
      <c r="B244" s="421"/>
      <c r="C244" s="420"/>
      <c r="D244" s="836" t="s">
        <v>152</v>
      </c>
      <c r="E244" s="420"/>
      <c r="F244" s="420"/>
      <c r="G244" s="424"/>
      <c r="H244" s="736" t="s">
        <v>12</v>
      </c>
      <c r="I244" s="701"/>
      <c r="J244" s="701"/>
      <c r="K244" s="700"/>
      <c r="L244" s="427">
        <f ca="1">IFERROR(__xludf.DUMMYFUNCTION("IMPORTRANGE(""https://docs.google.com/spreadsheets/d/1eHaY18a8A9IcSdp1K8H6x8fbOy06t2VsZHhMHf-1x7Y/edit?usp=sharing"",""แผน!AX63"")"),5000)</f>
        <v>5000</v>
      </c>
      <c r="M244" s="430"/>
      <c r="N244" s="840">
        <v>0</v>
      </c>
      <c r="O244" s="430"/>
      <c r="P244" s="430"/>
    </row>
    <row r="245" spans="1:16" ht="18.75" x14ac:dyDescent="0.25">
      <c r="A245" s="419"/>
      <c r="B245" s="421"/>
      <c r="C245" s="421"/>
      <c r="D245" s="751" t="s">
        <v>81</v>
      </c>
      <c r="E245" s="420"/>
      <c r="F245" s="420"/>
      <c r="G245" s="424"/>
      <c r="H245" s="736" t="s">
        <v>12</v>
      </c>
      <c r="I245" s="429"/>
      <c r="J245" s="429"/>
      <c r="K245" s="430"/>
      <c r="L245" s="427">
        <f ca="1">IFERROR(__xludf.DUMMYFUNCTION("IMPORTRANGE(""https://docs.google.com/spreadsheets/d/1eHaY18a8A9IcSdp1K8H6x8fbOy06t2VsZHhMHf-1x7Y/edit?usp=sharing"",""แผน!AY63"")"),2000)</f>
        <v>2000</v>
      </c>
      <c r="M245" s="430"/>
      <c r="N245" s="840">
        <v>0</v>
      </c>
      <c r="O245" s="430"/>
      <c r="P245" s="430"/>
    </row>
    <row r="246" spans="1:16" ht="18.75" x14ac:dyDescent="0.25">
      <c r="A246" s="419"/>
      <c r="B246" s="421"/>
      <c r="C246" s="421"/>
      <c r="D246" s="751" t="s">
        <v>82</v>
      </c>
      <c r="E246" s="420"/>
      <c r="F246" s="420"/>
      <c r="G246" s="424"/>
      <c r="H246" s="736" t="s">
        <v>12</v>
      </c>
      <c r="I246" s="429"/>
      <c r="J246" s="429"/>
      <c r="K246" s="430"/>
      <c r="L246" s="427">
        <f ca="1">IFERROR(__xludf.DUMMYFUNCTION("IMPORTRANGE(""https://docs.google.com/spreadsheets/d/1eHaY18a8A9IcSdp1K8H6x8fbOy06t2VsZHhMHf-1x7Y/edit?usp=sharing"",""แผน!AZ63"")"),15600)</f>
        <v>15600</v>
      </c>
      <c r="M246" s="430"/>
      <c r="N246" s="840">
        <v>0</v>
      </c>
      <c r="O246" s="430"/>
      <c r="P246" s="430"/>
    </row>
    <row r="247" spans="1:16" ht="18.75" x14ac:dyDescent="0.25">
      <c r="A247" s="419"/>
      <c r="B247" s="421"/>
      <c r="C247" s="421"/>
      <c r="D247" s="295" t="s">
        <v>83</v>
      </c>
      <c r="E247" s="420"/>
      <c r="F247" s="420"/>
      <c r="G247" s="424"/>
      <c r="H247" s="736" t="s">
        <v>12</v>
      </c>
      <c r="I247" s="429"/>
      <c r="J247" s="429"/>
      <c r="K247" s="430"/>
      <c r="L247" s="427">
        <f ca="1">IFERROR(__xludf.DUMMYFUNCTION("IMPORTRANGE(""https://docs.google.com/spreadsheets/d/1eHaY18a8A9IcSdp1K8H6x8fbOy06t2VsZHhMHf-1x7Y/edit?usp=sharing"",""แผน!BA63"")"),19000)</f>
        <v>19000</v>
      </c>
      <c r="M247" s="430"/>
      <c r="N247" s="840">
        <v>0</v>
      </c>
      <c r="O247" s="430"/>
      <c r="P247" s="430"/>
    </row>
    <row r="248" spans="1:16" ht="19.5" x14ac:dyDescent="0.3">
      <c r="A248" s="705"/>
      <c r="B248" s="432"/>
      <c r="C248" s="733" t="s">
        <v>16</v>
      </c>
      <c r="D248" s="759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x14ac:dyDescent="0.25">
      <c r="A249" s="705"/>
      <c r="B249" s="432"/>
      <c r="C249" s="432"/>
      <c r="D249" s="423" t="s">
        <v>102</v>
      </c>
      <c r="E249" s="422"/>
      <c r="F249" s="422"/>
      <c r="G249" s="702"/>
      <c r="H249" s="791" t="s">
        <v>33</v>
      </c>
      <c r="I249" s="426">
        <f ca="1">IFERROR(__xludf.DUMMYFUNCTION("IMPORTRANGE(""https://docs.google.com/spreadsheets/d/1eHaY18a8A9IcSdp1K8H6x8fbOy06t2VsZHhMHf-1x7Y/edit?usp=sharing"",""แผน!BG63"")"),20)</f>
        <v>20</v>
      </c>
      <c r="J249" s="758">
        <v>0</v>
      </c>
      <c r="K249" s="427">
        <f ca="1">IF(I249&gt;0,J249*100/I249,0)</f>
        <v>0</v>
      </c>
      <c r="L249" s="430"/>
      <c r="M249" s="430"/>
      <c r="N249" s="430"/>
      <c r="O249" s="430"/>
      <c r="P249" s="430"/>
    </row>
    <row r="250" spans="1:16" ht="18.75" x14ac:dyDescent="0.25">
      <c r="A250" s="705"/>
      <c r="B250" s="432"/>
      <c r="C250" s="432"/>
      <c r="D250" s="731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x14ac:dyDescent="0.25">
      <c r="A251" s="705"/>
      <c r="B251" s="432"/>
      <c r="C251" s="432"/>
      <c r="D251" s="432"/>
      <c r="E251" s="728" t="s">
        <v>103</v>
      </c>
      <c r="F251" s="422"/>
      <c r="G251" s="702"/>
      <c r="H251" s="791" t="s">
        <v>33</v>
      </c>
      <c r="I251" s="426">
        <f ca="1">IFERROR(__xludf.DUMMYFUNCTION("IMPORTRANGE(""https://docs.google.com/spreadsheets/d/1eHaY18a8A9IcSdp1K8H6x8fbOy06t2VsZHhMHf-1x7Y/edit?usp=sharing"",""แผน!KF63"")"),20)</f>
        <v>20</v>
      </c>
      <c r="J251" s="758">
        <v>0</v>
      </c>
      <c r="K251" s="427">
        <f ca="1">IF(I251&gt;0,J251*100/I251,0)</f>
        <v>0</v>
      </c>
      <c r="L251" s="430"/>
      <c r="M251" s="430"/>
      <c r="N251" s="430"/>
      <c r="O251" s="430"/>
      <c r="P251" s="430"/>
    </row>
    <row r="252" spans="1:16" ht="18.75" x14ac:dyDescent="0.25">
      <c r="A252" s="705"/>
      <c r="B252" s="432"/>
      <c r="C252" s="432"/>
      <c r="D252" s="432"/>
      <c r="E252" s="728" t="s">
        <v>104</v>
      </c>
      <c r="F252" s="422"/>
      <c r="G252" s="702"/>
      <c r="H252" s="791" t="s">
        <v>54</v>
      </c>
      <c r="I252" s="426">
        <f ca="1">IFERROR(__xludf.DUMMYFUNCTION("IMPORTRANGE(""https://docs.google.com/spreadsheets/d/1eHaY18a8A9IcSdp1K8H6x8fbOy06t2VsZHhMHf-1x7Y/edit?usp=sharing"",""แผน!KG63"")"),1)</f>
        <v>1</v>
      </c>
      <c r="J252" s="758">
        <v>0</v>
      </c>
      <c r="K252" s="427">
        <f ca="1"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IFERROR(__xludf.DUMMYFUNCTION("IMPORTRANGE(""https://docs.google.com/spreadsheets/d/1eHaY18a8A9IcSdp1K8H6x8fbOy06t2VsZHhMHf-1x7Y/edit?usp=sharing"",""แผน!BB63"")"),0)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IFERROR(__xludf.DUMMYFUNCTION("IMPORTRANGE(""https://docs.google.com/spreadsheets/d/1eHaY18a8A9IcSdp1K8H6x8fbOy06t2VsZHhMHf-1x7Y/edit?usp=sharing"",""แผน!BC63"")"),0)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IFERROR(__xludf.DUMMYFUNCTION("IMPORTRANGE(""https://docs.google.com/spreadsheets/d/1eHaY18a8A9IcSdp1K8H6x8fbOy06t2VsZHhMHf-1x7Y/edit?usp=sharing"",""แผน!BD63"")"),0)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IFERROR(__xludf.DUMMYFUNCTION("IMPORTRANGE(""https://docs.google.com/spreadsheets/d/1eHaY18a8A9IcSdp1K8H6x8fbOy06t2VsZHhMHf-1x7Y/edit?usp=sharing"",""แผน!BE63"")"),0)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IFERROR(__xludf.DUMMYFUNCTION("IMPORTRANGE(""https://docs.google.com/spreadsheets/d/1eHaY18a8A9IcSdp1K8H6x8fbOy06t2VsZHhMHf-1x7Y/edit?usp=sharing"",""แผน!BH63"")"),0)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IFERROR(__xludf.DUMMYFUNCTION("IMPORTRANGE(""https://docs.google.com/spreadsheets/d/1-uDff_7J0KD5mKrp0Vvzr7lt3OU09vwQwhkpOPPYv2Y/edit?usp=sharing"",""งบพรบ!DE63"")"),0)</f>
        <v>0</v>
      </c>
      <c r="M271" s="522">
        <f ca="1">IFERROR(__xludf.DUMMYFUNCTION("IMPORTRANGE(""https://docs.google.com/spreadsheets/d/1-uDff_7J0KD5mKrp0Vvzr7lt3OU09vwQwhkpOPPYv2Y/edit?usp=sharing"",""งบพรบ!DJ63"")"),0)</f>
        <v>0</v>
      </c>
      <c r="N271" s="522">
        <f ca="1">IFERROR(__xludf.DUMMYFUNCTION("IMPORTRANGE(""https://docs.google.com/spreadsheets/d/1-uDff_7J0KD5mKrp0Vvzr7lt3OU09vwQwhkpOPPYv2Y/edit?usp=sharing"",""งบพรบ!DL63"")"),0)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IFERROR(__xludf.DUMMYFUNCTION("IMPORTRANGE(""https://docs.google.com/spreadsheets/d/1-uDff_7J0KD5mKrp0Vvzr7lt3OU09vwQwhkpOPPYv2Y/edit?usp=sharing"",""งบพรบ!DH63"")"),0)</f>
        <v>0</v>
      </c>
      <c r="M274" s="522">
        <f ca="1">IFERROR(__xludf.DUMMYFUNCTION("IMPORTRANGE(""https://docs.google.com/spreadsheets/d/1-uDff_7J0KD5mKrp0Vvzr7lt3OU09vwQwhkpOPPYv2Y/edit?usp=sharing"",""งบพรบ!DK63"")"),0)</f>
        <v>0</v>
      </c>
      <c r="N274" s="522">
        <f ca="1">IFERROR(__xludf.DUMMYFUNCTION("IMPORTRANGE(""https://docs.google.com/spreadsheets/d/1-uDff_7J0KD5mKrp0Vvzr7lt3OU09vwQwhkpOPPYv2Y/edit?usp=sharing"",""งบพรบ!DM63"")"),0)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IFERROR(__xludf.DUMMYFUNCTION("IMPORTRANGE(""https://docs.google.com/spreadsheets/d/1-uDff_7J0KD5mKrp0Vvzr7lt3OU09vwQwhkpOPPYv2Y/edit?usp=sharing"",""งบพรบ!DO63"")"),0)</f>
        <v>0</v>
      </c>
      <c r="M287" s="427">
        <f ca="1">IFERROR(__xludf.DUMMYFUNCTION("IMPORTRANGE(""https://docs.google.com/spreadsheets/d/1-uDff_7J0KD5mKrp0Vvzr7lt3OU09vwQwhkpOPPYv2Y/edit?usp=sharing"",""งบพรบ!DT63"")"),0)</f>
        <v>0</v>
      </c>
      <c r="N287" s="427">
        <f ca="1">IFERROR(__xludf.DUMMYFUNCTION("IMPORTRANGE(""https://docs.google.com/spreadsheets/d/1-uDff_7J0KD5mKrp0Vvzr7lt3OU09vwQwhkpOPPYv2Y/edit?usp=sharing"",""งบพรบ!DV63"")"),0)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IFERROR(__xludf.DUMMYFUNCTION("IMPORTRANGE(""https://docs.google.com/spreadsheets/d/1-uDff_7J0KD5mKrp0Vvzr7lt3OU09vwQwhkpOPPYv2Y/edit?usp=sharing"",""งบพรบ!DR63"")"),0)</f>
        <v>0</v>
      </c>
      <c r="M290" s="427">
        <f ca="1">IFERROR(__xludf.DUMMYFUNCTION("IMPORTRANGE(""https://docs.google.com/spreadsheets/d/1-uDff_7J0KD5mKrp0Vvzr7lt3OU09vwQwhkpOPPYv2Y/edit?usp=sharing"",""งบพรบ!DU63"")"),0)</f>
        <v>0</v>
      </c>
      <c r="N290" s="427">
        <f ca="1">IFERROR(__xludf.DUMMYFUNCTION("IMPORTRANGE(""https://docs.google.com/spreadsheets/d/1-uDff_7J0KD5mKrp0Vvzr7lt3OU09vwQwhkpOPPYv2Y/edit?usp=sharing"",""งบพรบ!DW63"")"),0)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IFERROR(__xludf.DUMMYFUNCTION("IMPORTRANGE(""https://docs.google.com/spreadsheets/d/1eHaY18a8A9IcSdp1K8H6x8fbOy06t2VsZHhMHf-1x7Y/edit?usp=sharing"",""แผน!EE63"")"),0)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IFERROR(__xludf.DUMMYFUNCTION("IMPORTRANGE(""https://docs.google.com/spreadsheets/d/1eHaY18a8A9IcSdp1K8H6x8fbOy06t2VsZHhMHf-1x7Y/edit?usp=sharing"",""แผน!ED63"")"),0)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IFERROR(__xludf.DUMMYFUNCTION("IMPORTRANGE(""https://docs.google.com/spreadsheets/d/1eHaY18a8A9IcSdp1K8H6x8fbOy06t2VsZHhMHf-1x7Y/edit?usp=sharing"",""แผน!ED63"")"),0)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IFERROR(__xludf.DUMMYFUNCTION("IMPORTRANGE(""https://docs.google.com/spreadsheets/d/1eHaY18a8A9IcSdp1K8H6x8fbOy06t2VsZHhMHf-1x7Y/edit?usp=sharing"",""แผน!ED63"")"),0)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20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82400</v>
      </c>
      <c r="M303" s="737">
        <f ca="1">M304+M305</f>
        <v>64400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82400</v>
      </c>
      <c r="M305" s="427">
        <f ca="1">M308+M311</f>
        <v>64400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82400</v>
      </c>
      <c r="M306" s="427">
        <f ca="1">M307+M308</f>
        <v>64400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IFERROR(__xludf.DUMMYFUNCTION("IMPORTRANGE(""https://docs.google.com/spreadsheets/d/1-uDff_7J0KD5mKrp0Vvzr7lt3OU09vwQwhkpOPPYv2Y/edit?usp=sharing"",""งบพรบ!DY63"")"),82400)</f>
        <v>82400</v>
      </c>
      <c r="M308" s="427">
        <f ca="1">IFERROR(__xludf.DUMMYFUNCTION("IMPORTRANGE(""https://docs.google.com/spreadsheets/d/1-uDff_7J0KD5mKrp0Vvzr7lt3OU09vwQwhkpOPPYv2Y/edit?usp=sharing"",""งบพรบ!ED63"")"),64400)</f>
        <v>64400</v>
      </c>
      <c r="N308" s="427">
        <f ca="1">IFERROR(__xludf.DUMMYFUNCTION("IMPORTRANGE(""https://docs.google.com/spreadsheets/d/1-uDff_7J0KD5mKrp0Vvzr7lt3OU09vwQwhkpOPPYv2Y/edit?usp=sharing"",""งบพรบ!EF63"")"),0)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IFERROR(__xludf.DUMMYFUNCTION("IMPORTRANGE(""https://docs.google.com/spreadsheets/d/1-uDff_7J0KD5mKrp0Vvzr7lt3OU09vwQwhkpOPPYv2Y/edit?usp=sharing"",""งบพรบ!EB63"")"),0)</f>
        <v>0</v>
      </c>
      <c r="M311" s="427">
        <f ca="1">IFERROR(__xludf.DUMMYFUNCTION("IMPORTRANGE(""https://docs.google.com/spreadsheets/d/1-uDff_7J0KD5mKrp0Vvzr7lt3OU09vwQwhkpOPPYv2Y/edit?usp=sharing"",""งบพรบ!EE63"")"),0)</f>
        <v>0</v>
      </c>
      <c r="N311" s="427">
        <f ca="1">IFERROR(__xludf.DUMMYFUNCTION("IMPORTRANGE(""https://docs.google.com/spreadsheets/d/1-uDff_7J0KD5mKrp0Vvzr7lt3OU09vwQwhkpOPPYv2Y/edit?usp=sharing"",""งบพรบ!EG63"")"),0)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IFERROR(__xludf.DUMMYFUNCTION("IMPORTRANGE(""https://docs.google.com/spreadsheets/d/1eHaY18a8A9IcSdp1K8H6x8fbOy06t2VsZHhMHf-1x7Y/edit?usp=sharing"",""แผน!EF63"")"),20)</f>
        <v>20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IFERROR(__xludf.DUMMYFUNCTION("IMPORTRANGE(""https://docs.google.com/spreadsheets/d/1eHaY18a8A9IcSdp1K8H6x8fbOy06t2VsZHhMHf-1x7Y/edit?usp=sharing"",""แผน!EG63"")"),4)</f>
        <v>4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IFERROR(__xludf.DUMMYFUNCTION("IMPORTRANGE(""https://docs.google.com/spreadsheets/d/1eHaY18a8A9IcSdp1K8H6x8fbOy06t2VsZHhMHf-1x7Y/edit?usp=sharing"",""แผน!EH63"")"),20)</f>
        <v>20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x14ac:dyDescent="0.25">
      <c r="A317" s="276"/>
      <c r="B317" s="280"/>
      <c r="C317" s="280"/>
      <c r="D317" s="336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IFERROR(__xludf.DUMMYFUNCTION("IMPORTRANGE(""https://docs.google.com/spreadsheets/d/1eHaY18a8A9IcSdp1K8H6x8fbOy06t2VsZHhMHf-1x7Y/edit?usp=sharing"",""แผน!EI63"")"),4)</f>
        <v>4</v>
      </c>
      <c r="J317" s="196">
        <v>0</v>
      </c>
      <c r="K317" s="61">
        <f ca="1">IF(I317&gt;0,J317*100/I317,0)</f>
        <v>0</v>
      </c>
      <c r="L317" s="58"/>
      <c r="M317" s="58"/>
      <c r="N317" s="58"/>
      <c r="O317" s="58"/>
      <c r="P317" s="58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IFERROR(__xludf.DUMMYFUNCTION("IMPORTRANGE(""https://docs.google.com/spreadsheets/d/1-uDff_7J0KD5mKrp0Vvzr7lt3OU09vwQwhkpOPPYv2Y/edit?usp=sharing"",""งบพรบ!EI63"")"),0)</f>
        <v>0</v>
      </c>
      <c r="M325" s="427">
        <f ca="1">IFERROR(__xludf.DUMMYFUNCTION("IMPORTRANGE(""https://docs.google.com/spreadsheets/d/1-uDff_7J0KD5mKrp0Vvzr7lt3OU09vwQwhkpOPPYv2Y/edit?usp=sharing"",""งบพรบ!EN63"")"),0)</f>
        <v>0</v>
      </c>
      <c r="N325" s="427">
        <f ca="1">IFERROR(__xludf.DUMMYFUNCTION("IMPORTRANGE(""https://docs.google.com/spreadsheets/d/1-uDff_7J0KD5mKrp0Vvzr7lt3OU09vwQwhkpOPPYv2Y/edit?usp=sharing"",""งบพรบ!EP63"")"),0)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IFERROR(__xludf.DUMMYFUNCTION("IMPORTRANGE(""https://docs.google.com/spreadsheets/d/1-uDff_7J0KD5mKrp0Vvzr7lt3OU09vwQwhkpOPPYv2Y/edit?usp=sharing"",""งบพรบ!EL63"")"),0)</f>
        <v>0</v>
      </c>
      <c r="M328" s="427">
        <f ca="1">IFERROR(__xludf.DUMMYFUNCTION("IMPORTRANGE(""https://docs.google.com/spreadsheets/d/1-uDff_7J0KD5mKrp0Vvzr7lt3OU09vwQwhkpOPPYv2Y/edit?usp=sharing"",""งบพรบ!EO63"")"),0)</f>
        <v>0</v>
      </c>
      <c r="N328" s="427">
        <f ca="1">IFERROR(__xludf.DUMMYFUNCTION("IMPORTRANGE(""https://docs.google.com/spreadsheets/d/1-uDff_7J0KD5mKrp0Vvzr7lt3OU09vwQwhkpOPPYv2Y/edit?usp=sharing"",""งบพรบ!EQ63"")"),0)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IFERROR(__xludf.DUMMYFUNCTION("IMPORTRANGE(""https://docs.google.com/spreadsheets/d/1eHaY18a8A9IcSdp1K8H6x8fbOy06t2VsZHhMHf-1x7Y/edit?usp=sharing"",""แผน!EJ63"")"),0)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660</v>
      </c>
      <c r="J332" s="404">
        <f ca="1">J344+J347+J348+J349+J353</f>
        <v>821</v>
      </c>
      <c r="K332" s="405">
        <f ca="1">IF(I332&gt;0,J332*100/I332,0)</f>
        <v>124.39393939393939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101000</v>
      </c>
      <c r="M333" s="737">
        <f ca="1">M334+M335</f>
        <v>79350</v>
      </c>
      <c r="N333" s="737">
        <f ca="1">N334+N335</f>
        <v>26000</v>
      </c>
      <c r="O333" s="737">
        <f ca="1">IF(L333&gt;0,N333*100/L333,0)</f>
        <v>25.742574257425744</v>
      </c>
      <c r="P333" s="737">
        <f ca="1">IF(M333&gt;0,N333*100/M333,0)</f>
        <v>32.766225582860741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101000</v>
      </c>
      <c r="M335" s="427">
        <f ca="1">M338+M341</f>
        <v>79350</v>
      </c>
      <c r="N335" s="427">
        <f ca="1">N338+N341</f>
        <v>26000</v>
      </c>
      <c r="O335" s="427">
        <f ca="1">IF(L335&gt;0,N335*100/L335,0)</f>
        <v>25.742574257425744</v>
      </c>
      <c r="P335" s="427">
        <f ca="1">IF(M335&gt;0,N335*100/M335,0)</f>
        <v>32.766225582860741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101000</v>
      </c>
      <c r="M336" s="427">
        <f ca="1">M337+M338</f>
        <v>79350</v>
      </c>
      <c r="N336" s="427">
        <f ca="1">N337+N338</f>
        <v>26000</v>
      </c>
      <c r="O336" s="427">
        <f ca="1">IF(L336&gt;0,N336*100/L336,0)</f>
        <v>25.742574257425744</v>
      </c>
      <c r="P336" s="427">
        <f ca="1">IF(M336&gt;0,N336*100/M336,0)</f>
        <v>32.766225582860741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IFERROR(__xludf.DUMMYFUNCTION("IMPORTRANGE(""https://docs.google.com/spreadsheets/d/1-uDff_7J0KD5mKrp0Vvzr7lt3OU09vwQwhkpOPPYv2Y/edit?usp=sharing"",""งบพรบ!ES63"")"),101000)</f>
        <v>101000</v>
      </c>
      <c r="M338" s="427">
        <f ca="1">IFERROR(__xludf.DUMMYFUNCTION("IMPORTRANGE(""https://docs.google.com/spreadsheets/d/1-uDff_7J0KD5mKrp0Vvzr7lt3OU09vwQwhkpOPPYv2Y/edit?usp=sharing"",""งบพรบ!EX63"")"),79350)</f>
        <v>79350</v>
      </c>
      <c r="N338" s="427">
        <f ca="1">IFERROR(__xludf.DUMMYFUNCTION("IMPORTRANGE(""https://docs.google.com/spreadsheets/d/1-uDff_7J0KD5mKrp0Vvzr7lt3OU09vwQwhkpOPPYv2Y/edit?usp=sharing"",""งบพรบ!EZ63"")"),26000)</f>
        <v>26000</v>
      </c>
      <c r="O338" s="427">
        <f ca="1">IF(L338&gt;0,N338*100/L338,0)</f>
        <v>25.742574257425744</v>
      </c>
      <c r="P338" s="427">
        <f ca="1">IF(M338&gt;0,N338*100/M338,0)</f>
        <v>32.766225582860741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IFERROR(__xludf.DUMMYFUNCTION("IMPORTRANGE(""https://docs.google.com/spreadsheets/d/1-uDff_7J0KD5mKrp0Vvzr7lt3OU09vwQwhkpOPPYv2Y/edit?usp=sharing"",""งบพรบ!EV63"")"),0)</f>
        <v>0</v>
      </c>
      <c r="M341" s="427">
        <f ca="1">IFERROR(__xludf.DUMMYFUNCTION("IMPORTRANGE(""https://docs.google.com/spreadsheets/d/1-uDff_7J0KD5mKrp0Vvzr7lt3OU09vwQwhkpOPPYv2Y/edit?usp=sharing"",""งบพรบ!EY63"")"),0)</f>
        <v>0</v>
      </c>
      <c r="N341" s="427">
        <f ca="1">IFERROR(__xludf.DUMMYFUNCTION("IMPORTRANGE(""https://docs.google.com/spreadsheets/d/1-uDff_7J0KD5mKrp0Vvzr7lt3OU09vwQwhkpOPPYv2Y/edit?usp=sharing"",""งบพรบ!FA63"")"),0)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313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IFERROR(__xludf.DUMMYFUNCTION("IMPORTRANGE(""https://docs.google.com/spreadsheets/d/1eHaY18a8A9IcSdp1K8H6x8fbOy06t2VsZHhMHf-1x7Y/edit?usp=sharing"",""แผน!EK63"")"),660)</f>
        <v>660</v>
      </c>
      <c r="J344" s="426">
        <f ca="1">IFERROR(__xludf.DUMMYFUNCTION("IMPORTRANGE(""https://docs.google.com/spreadsheets/d/1awYsYK3VOup2i3Pq_Yjnu8DRu_mYwSBnCR2QPthd0rU/edit?usp=sharing"",""ศูนย์ยกเว้นโฉนด!D63"")"),311)</f>
        <v>311</v>
      </c>
      <c r="K344" s="427">
        <f ca="1">IF(I344&gt;0,J344*100/I344,0)</f>
        <v>47.121212121212125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IFERROR(__xludf.DUMMYFUNCTION("IMPORTRANGE(""https://docs.google.com/spreadsheets/d/1eHaY18a8A9IcSdp1K8H6x8fbOy06t2VsZHhMHf-1x7Y/edit?usp=sharing"",""แผน!EL63"")"),2)</f>
        <v>2</v>
      </c>
      <c r="J346" s="426">
        <f ca="1">IFERROR(__xludf.DUMMYFUNCTION("IMPORTRANGE(""https://docs.google.com/spreadsheets/d/1awYsYK3VOup2i3Pq_Yjnu8DRu_mYwSBnCR2QPthd0rU/edit?usp=sharing"",""ศูนย์รวม!E63"")"),0)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IFERROR(__xludf.DUMMYFUNCTION("IMPORTRANGE(""https://docs.google.com/spreadsheets/d/1awYsYK3VOup2i3Pq_Yjnu8DRu_mYwSBnCR2QPthd0rU/edit?usp=sharing"",""ศูนย์ยกเว้นโฉนด!F63"")"),0)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IFERROR(__xludf.DUMMYFUNCTION("IMPORTRANGE(""https://docs.google.com/spreadsheets/d/1awYsYK3VOup2i3Pq_Yjnu8DRu_mYwSBnCR2QPthd0rU/edit?usp=sharing"",""ศูนย์ยกเว้นโฉนด!G63"")"),2)</f>
        <v>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IFERROR(__xludf.DUMMYFUNCTION("IMPORTRANGE(""https://docs.google.com/spreadsheets/d/1awYsYK3VOup2i3Pq_Yjnu8DRu_mYwSBnCR2QPthd0rU/edit?usp=sharing"",""ศูนย์ยกเว้นโฉนด!H63"")"),0)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543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IFERROR(__xludf.DUMMYFUNCTION("IMPORTRANGE(""https://docs.google.com/spreadsheets/d/1awYsYK3VOup2i3Pq_Yjnu8DRu_mYwSBnCR2QPthd0rU/edit?usp=sharing"",""โฉนดM3!G63"")"),35)</f>
        <v>35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IFERROR(__xludf.DUMMYFUNCTION("IMPORTRANGE(""https://docs.google.com/spreadsheets/d/1awYsYK3VOup2i3Pq_Yjnu8DRu_mYwSBnCR2QPthd0rU/edit?usp=sharing"",""โฉนดM3!H63"")"),508)</f>
        <v>508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618525</v>
      </c>
      <c r="M356" s="737">
        <f ca="1">M357+M358</f>
        <v>465725</v>
      </c>
      <c r="N356" s="737">
        <f ca="1">N357+N358</f>
        <v>154400</v>
      </c>
      <c r="O356" s="737">
        <f ca="1">IF(L356&gt;0,N356*100/L356,0)</f>
        <v>24.962612667232531</v>
      </c>
      <c r="P356" s="737">
        <f ca="1">IF(M356&gt;0,N356*100/M356,0)</f>
        <v>33.152611519673627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618525</v>
      </c>
      <c r="M358" s="427">
        <f ca="1">M361+M364</f>
        <v>465725</v>
      </c>
      <c r="N358" s="427">
        <f ca="1">N361+N364</f>
        <v>154400</v>
      </c>
      <c r="O358" s="427">
        <f ca="1">IF(L358&gt;0,N358*100/L358,0)</f>
        <v>24.962612667232531</v>
      </c>
      <c r="P358" s="427">
        <f ca="1">IF(M358&gt;0,N358*100/M358,0)</f>
        <v>33.152611519673627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618525</v>
      </c>
      <c r="M359" s="427">
        <f ca="1">M360+M361</f>
        <v>465725</v>
      </c>
      <c r="N359" s="427">
        <f ca="1">N360+N361</f>
        <v>154400</v>
      </c>
      <c r="O359" s="427">
        <f ca="1">IF(L359&gt;0,N359*100/L359,0)</f>
        <v>24.962612667232531</v>
      </c>
      <c r="P359" s="427">
        <f ca="1">IF(M359&gt;0,N359*100/M359,0)</f>
        <v>33.152611519673627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IFERROR(__xludf.DUMMYFUNCTION("IMPORTRANGE(""https://docs.google.com/spreadsheets/d/1-uDff_7J0KD5mKrp0Vvzr7lt3OU09vwQwhkpOPPYv2Y/edit?usp=sharing"",""งบพรบ!FC63"")"),618525)</f>
        <v>618525</v>
      </c>
      <c r="M361" s="427">
        <f ca="1">IFERROR(__xludf.DUMMYFUNCTION("IMPORTRANGE(""https://docs.google.com/spreadsheets/d/1-uDff_7J0KD5mKrp0Vvzr7lt3OU09vwQwhkpOPPYv2Y/edit?usp=sharing"",""งบพรบ!FH63"")"),465725)</f>
        <v>465725</v>
      </c>
      <c r="N361" s="427">
        <f ca="1">IFERROR(__xludf.DUMMYFUNCTION("IMPORTRANGE(""https://docs.google.com/spreadsheets/d/1-uDff_7J0KD5mKrp0Vvzr7lt3OU09vwQwhkpOPPYv2Y/edit?usp=sharing"",""งบพรบ!FJ63"")"),154400)</f>
        <v>154400</v>
      </c>
      <c r="O361" s="427">
        <f ca="1">IF(L361&gt;0,N361*100/L361,0)</f>
        <v>24.962612667232531</v>
      </c>
      <c r="P361" s="427">
        <f ca="1">IF(M361&gt;0,N361*100/M361,0)</f>
        <v>33.152611519673627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IFERROR(__xludf.DUMMYFUNCTION("IMPORTRANGE(""https://docs.google.com/spreadsheets/d/1-uDff_7J0KD5mKrp0Vvzr7lt3OU09vwQwhkpOPPYv2Y/edit?usp=sharing"",""งบพรบ!FF63"")"),0)</f>
        <v>0</v>
      </c>
      <c r="M364" s="427">
        <f ca="1">IFERROR(__xludf.DUMMYFUNCTION("IMPORTRANGE(""https://docs.google.com/spreadsheets/d/1-uDff_7J0KD5mKrp0Vvzr7lt3OU09vwQwhkpOPPYv2Y/edit?usp=sharing"",""งบพรบ!FI63"")"),0)</f>
        <v>0</v>
      </c>
      <c r="N364" s="427">
        <f ca="1">IFERROR(__xludf.DUMMYFUNCTION("IMPORTRANGE(""https://docs.google.com/spreadsheets/d/1-uDff_7J0KD5mKrp0Vvzr7lt3OU09vwQwhkpOPPYv2Y/edit?usp=sharing"",""งบพรบ!FK63"")"),0)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60</v>
      </c>
      <c r="J365" s="440">
        <f ca="1">J371</f>
        <v>2</v>
      </c>
      <c r="K365" s="441">
        <f ca="1">IF(I365&gt;0,J365*100/I365,0)</f>
        <v>3.3333333333333335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IFERROR(__xludf.DUMMYFUNCTION("IMPORTRANGE(""https://docs.google.com/spreadsheets/d/1tdoBKaGub7dwA3U6UFTqxio9LNnvDCQjHKmttSEBsFQ/edit?usp=sharing"",""จัดที่ดิน!AB63"")"),3)</f>
        <v>3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IFERROR(__xludf.DUMMYFUNCTION("IMPORTRANGE(""https://docs.google.com/spreadsheets/d/1eHaY18a8A9IcSdp1K8H6x8fbOy06t2VsZHhMHf-1x7Y/edit?usp=sharing"",""แผน!EW63"")"),585)</f>
        <v>585</v>
      </c>
      <c r="J368" s="726">
        <f ca="1">IFERROR(__xludf.DUMMYFUNCTION("IMPORTRANGE(""https://docs.google.com/spreadsheets/d/1tdoBKaGub7dwA3U6UFTqxio9LNnvDCQjHKmttSEBsFQ/edit?usp=sharing"",""จัดที่ดิน!AC63"")"),64.46)</f>
        <v>64.459999999999994</v>
      </c>
      <c r="K368" s="427">
        <f ca="1">IF(I368&gt;0,J368*100/I368,0)</f>
        <v>11.018803418803417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IFERROR(__xludf.DUMMYFUNCTION("IMPORTRANGE(""https://docs.google.com/spreadsheets/d/1eHaY18a8A9IcSdp1K8H6x8fbOy06t2VsZHhMHf-1x7Y/edit?usp=sharing"",""แผน!EX63"")"),90)</f>
        <v>90</v>
      </c>
      <c r="J369" s="426">
        <f ca="1">IFERROR(__xludf.DUMMYFUNCTION("IMPORTRANGE(""https://docs.google.com/spreadsheets/d/1tdoBKaGub7dwA3U6UFTqxio9LNnvDCQjHKmttSEBsFQ/edit?usp=sharing"",""จัดที่ดิน!AD63"")"),0)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IFERROR(__xludf.DUMMYFUNCTION("IMPORTRANGE(""https://docs.google.com/spreadsheets/d/1tdoBKaGub7dwA3U6UFTqxio9LNnvDCQjHKmttSEBsFQ/edit?usp=sharing"",""จัดที่ดิน!AE63"")"),0)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IFERROR(__xludf.DUMMYFUNCTION("IMPORTRANGE(""https://docs.google.com/spreadsheets/d/1eHaY18a8A9IcSdp1K8H6x8fbOy06t2VsZHhMHf-1x7Y/edit?usp=sharing"",""แผน!EY63"")"),60)</f>
        <v>60</v>
      </c>
      <c r="J371" s="426">
        <f ca="1">IFERROR(__xludf.DUMMYFUNCTION("IMPORTRANGE(""https://docs.google.com/spreadsheets/d/1tdoBKaGub7dwA3U6UFTqxio9LNnvDCQjHKmttSEBsFQ/edit?usp=sharing"",""จัดที่ดิน!AF63"")"),2)</f>
        <v>2</v>
      </c>
      <c r="K371" s="427">
        <f ca="1">IF(I371&gt;0,J371*100/I371,0)</f>
        <v>3.3333333333333335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IFERROR(__xludf.DUMMYFUNCTION("IMPORTRANGE(""https://docs.google.com/spreadsheets/d/1tdoBKaGub7dwA3U6UFTqxio9LNnvDCQjHKmttSEBsFQ/edit?usp=sharing"",""จัดที่ดิน!AG63"")"),8.78)</f>
        <v>8.7799999999999994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IFERROR(__xludf.DUMMYFUNCTION("IMPORTRANGE(""https://docs.google.com/spreadsheets/d/1-uDff_7J0KD5mKrp0Vvzr7lt3OU09vwQwhkpOPPYv2Y/edit?usp=sharing"",""งบพรบ!FM63"")"),0)</f>
        <v>0</v>
      </c>
      <c r="M382" s="522">
        <f ca="1">IFERROR(__xludf.DUMMYFUNCTION("IMPORTRANGE(""https://docs.google.com/spreadsheets/d/1-uDff_7J0KD5mKrp0Vvzr7lt3OU09vwQwhkpOPPYv2Y/edit?usp=sharing"",""งบพรบ!FR63"")"),0)</f>
        <v>0</v>
      </c>
      <c r="N382" s="522">
        <f ca="1">IFERROR(__xludf.DUMMYFUNCTION("IMPORTRANGE(""https://docs.google.com/spreadsheets/d/1-uDff_7J0KD5mKrp0Vvzr7lt3OU09vwQwhkpOPPYv2Y/edit?usp=sharing"",""งบพรบ!FT63"")"),0)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IFERROR(__xludf.DUMMYFUNCTION("IMPORTRANGE(""https://docs.google.com/spreadsheets/d/1-uDff_7J0KD5mKrp0Vvzr7lt3OU09vwQwhkpOPPYv2Y/edit?usp=sharing"",""งบพรบ!FP63"")"),0)</f>
        <v>0</v>
      </c>
      <c r="M385" s="522">
        <f ca="1">IFERROR(__xludf.DUMMYFUNCTION("IMPORTRANGE(""https://docs.google.com/spreadsheets/d/1-uDff_7J0KD5mKrp0Vvzr7lt3OU09vwQwhkpOPPYv2Y/edit?usp=sharing"",""งบพรบ!FS63"")"),0)</f>
        <v>0</v>
      </c>
      <c r="N385" s="522">
        <f ca="1">IFERROR(__xludf.DUMMYFUNCTION("IMPORTRANGE(""https://docs.google.com/spreadsheets/d/1-uDff_7J0KD5mKrp0Vvzr7lt3OU09vwQwhkpOPPYv2Y/edit?usp=sharing"",""งบพรบ!FU63"")"),0)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DED8-1EB0-4313-9BD3-C49B2A6DD52C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176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1542645</v>
      </c>
      <c r="M18" s="865">
        <f ca="1">M19+M20</f>
        <v>1377620</v>
      </c>
      <c r="N18" s="865">
        <f ca="1">N19+N20</f>
        <v>555794.70000000007</v>
      </c>
      <c r="O18" s="865">
        <f ca="1">IF(L18&gt;0,N18*100/L18,0)</f>
        <v>36.028684499674263</v>
      </c>
      <c r="P18" s="865">
        <f ca="1">IF(M18&gt;0,N18*100/M18,0)</f>
        <v>40.344558005836156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1542645</v>
      </c>
      <c r="M20" s="972">
        <f ca="1">M23+M26</f>
        <v>1377620</v>
      </c>
      <c r="N20" s="972">
        <f ca="1">N23+N26</f>
        <v>555794.70000000007</v>
      </c>
      <c r="O20" s="972">
        <f ca="1">IF(L20&gt;0,N20*100/L20,0)</f>
        <v>36.028684499674263</v>
      </c>
      <c r="P20" s="972">
        <f ca="1">IF(M20&gt;0,N20*100/M20,0)</f>
        <v>40.344558005836156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1542645</v>
      </c>
      <c r="M21" s="427">
        <f ca="1">M22+M23</f>
        <v>1377620</v>
      </c>
      <c r="N21" s="427">
        <f ca="1">N22+N23</f>
        <v>555794.70000000007</v>
      </c>
      <c r="O21" s="427">
        <f ca="1">IF(L21&gt;0,N21*100/L21,0)</f>
        <v>36.028684499674263</v>
      </c>
      <c r="P21" s="427">
        <f ca="1">IF(M21&gt;0,N21*100/M21,0)</f>
        <v>40.344558005836156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1542645</v>
      </c>
      <c r="M23" s="427">
        <f ca="1">M49+M64+M77+M99+M130+M144+M162+M191+M178+M271+M287+M308+M325+M338+M361+M382</f>
        <v>1377620</v>
      </c>
      <c r="N23" s="427">
        <f ca="1">N49+N64+N77+N99+N130+N144+N162+N191+N178+N271+N287+N308+N325+N338+N361+N382</f>
        <v>555794.70000000007</v>
      </c>
      <c r="O23" s="427">
        <f ca="1">IF(L23&gt;0,N23*100/L23,0)</f>
        <v>36.028684499674263</v>
      </c>
      <c r="P23" s="427">
        <f ca="1">IF(M23&gt;0,N23*100/M23,0)</f>
        <v>40.344558005836156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1542645</v>
      </c>
      <c r="M40" s="964">
        <f ca="1">M44+M59+M72+M94+M125+M139+M157+M173+M186+M266+M282+M303+M320+M333+M356</f>
        <v>1377620</v>
      </c>
      <c r="N40" s="964">
        <f ca="1">N44+N59+N72+N94+N125+N139+N157+N173+N186+N266+N282+N303+N320+N333+N356</f>
        <v>555794.70000000007</v>
      </c>
      <c r="O40" s="964">
        <f ca="1">IF(L40&gt;0,N40*100/L40,0)</f>
        <v>36.028684499674263</v>
      </c>
      <c r="P40" s="964">
        <f ca="1">IF(M40&gt;0,N40*100/M40,0)</f>
        <v>40.344558005836156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211100</v>
      </c>
      <c r="M44" s="949">
        <f ca="1">M45+M46</f>
        <v>215600</v>
      </c>
      <c r="N44" s="949">
        <f ca="1">N45+N46</f>
        <v>109500</v>
      </c>
      <c r="O44" s="949">
        <f ca="1">IF(L44&gt;0,N44*100/L44,0)</f>
        <v>51.871151113216484</v>
      </c>
      <c r="P44" s="949">
        <f ca="1">IF(M44&gt;0,N44*100/M44,0)</f>
        <v>50.788497217068645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211100</v>
      </c>
      <c r="M46" s="941">
        <f ca="1">M49+M52</f>
        <v>215600</v>
      </c>
      <c r="N46" s="941">
        <f ca="1">N49+N52</f>
        <v>109500</v>
      </c>
      <c r="O46" s="941">
        <f ca="1">IF(L46&gt;0,N46*100/L46,0)</f>
        <v>51.871151113216484</v>
      </c>
      <c r="P46" s="941">
        <f ca="1">IF(M46&gt;0,N46*100/M46,0)</f>
        <v>50.788497217068645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211100</v>
      </c>
      <c r="M47" s="427">
        <f ca="1">M48+M49</f>
        <v>215600</v>
      </c>
      <c r="N47" s="427">
        <f ca="1">N48+N49</f>
        <v>109500</v>
      </c>
      <c r="O47" s="427">
        <f ca="1">IF(L47&gt;0,N47*100/L47,0)</f>
        <v>51.871151113216484</v>
      </c>
      <c r="P47" s="427">
        <f ca="1">IF(M47&gt;0,N47*100/M47,0)</f>
        <v>50.788497217068645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IFERROR(__xludf.DUMMYFUNCTION("IMPORTRANGE(""https://docs.google.com/spreadsheets/d/1-uDff_7J0KD5mKrp0Vvzr7lt3OU09vwQwhkpOPPYv2Y/edit?usp=sharing"",""งบพรบ!P64"")"),211100)</f>
        <v>211100</v>
      </c>
      <c r="M49" s="427">
        <f ca="1">IFERROR(__xludf.DUMMYFUNCTION("IMPORTRANGE(""https://docs.google.com/spreadsheets/d/1-uDff_7J0KD5mKrp0Vvzr7lt3OU09vwQwhkpOPPYv2Y/edit?usp=sharing"",""งบพรบ!V64"")"),215600)</f>
        <v>215600</v>
      </c>
      <c r="N49" s="427">
        <f ca="1">IFERROR(__xludf.DUMMYFUNCTION("IMPORTRANGE(""https://docs.google.com/spreadsheets/d/1-uDff_7J0KD5mKrp0Vvzr7lt3OU09vwQwhkpOPPYv2Y/edit?usp=sharing"",""งบพรบ!Y64"")"),109500)</f>
        <v>109500</v>
      </c>
      <c r="O49" s="427">
        <f ca="1">IF(L49&gt;0,N49*100/L49,0)</f>
        <v>51.871151113216484</v>
      </c>
      <c r="P49" s="427">
        <f ca="1">IF(M49&gt;0,N49*100/M49,0)</f>
        <v>50.788497217068645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IFERROR(__xludf.DUMMYFUNCTION("IMPORTRANGE(""https://docs.google.com/spreadsheets/d/1-uDff_7J0KD5mKrp0Vvzr7lt3OU09vwQwhkpOPPYv2Y/edit?usp=sharing"",""งบพรบ!S64"")"),0)</f>
        <v>0</v>
      </c>
      <c r="M52" s="427">
        <f ca="1">IFERROR(__xludf.DUMMYFUNCTION("IMPORTRANGE(""https://docs.google.com/spreadsheets/d/1-uDff_7J0KD5mKrp0Vvzr7lt3OU09vwQwhkpOPPYv2Y/edit?usp=sharing"",""งบพรบ!W64"")"),0)</f>
        <v>0</v>
      </c>
      <c r="N52" s="427">
        <f ca="1">IFERROR(__xludf.DUMMYFUNCTION("IMPORTRANGE(""https://docs.google.com/spreadsheets/d/1-uDff_7J0KD5mKrp0Vvzr7lt3OU09vwQwhkpOPPYv2Y/edit?usp=sharing"",""งบพรบ!Z64"")"),0)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246200</v>
      </c>
      <c r="M59" s="921">
        <f ca="1">M60+M61</f>
        <v>186700</v>
      </c>
      <c r="N59" s="921">
        <f ca="1">N60+N61</f>
        <v>93295.65</v>
      </c>
      <c r="O59" s="921">
        <f ca="1">IF(L59&gt;0,N59*100/L59,0)</f>
        <v>37.894252640129977</v>
      </c>
      <c r="P59" s="921">
        <f ca="1">IF(M59&gt;0,N59*100/M59,0)</f>
        <v>49.970889126941614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246200</v>
      </c>
      <c r="M61" s="913">
        <f ca="1">M64+M67</f>
        <v>186700</v>
      </c>
      <c r="N61" s="913">
        <f ca="1">N64+N67</f>
        <v>93295.65</v>
      </c>
      <c r="O61" s="913">
        <f ca="1">IF(L61&gt;0,N61*100/L61,0)</f>
        <v>37.894252640129977</v>
      </c>
      <c r="P61" s="913">
        <f ca="1">IF(M61&gt;0,N61*100/M61,0)</f>
        <v>49.970889126941614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246200</v>
      </c>
      <c r="M62" s="427">
        <f ca="1">M63+M64</f>
        <v>186700</v>
      </c>
      <c r="N62" s="427">
        <f ca="1">N63+N64</f>
        <v>93295.65</v>
      </c>
      <c r="O62" s="427">
        <f ca="1">IF(L62&gt;0,N62*100/L62,0)</f>
        <v>37.894252640129977</v>
      </c>
      <c r="P62" s="427">
        <f ca="1">IF(M62&gt;0,N62*100/M62,0)</f>
        <v>49.970889126941614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IFERROR(__xludf.DUMMYFUNCTION("IMPORTRANGE(""https://docs.google.com/spreadsheets/d/1-uDff_7J0KD5mKrp0Vvzr7lt3OU09vwQwhkpOPPYv2Y/edit?usp=sharing"",""งบพรบ!AC64"")"),246200)</f>
        <v>246200</v>
      </c>
      <c r="M64" s="427">
        <f ca="1">IFERROR(__xludf.DUMMYFUNCTION("IMPORTRANGE(""https://docs.google.com/spreadsheets/d/1-uDff_7J0KD5mKrp0Vvzr7lt3OU09vwQwhkpOPPYv2Y/edit?usp=sharing"",""งบพรบ!AH64"")"),186700)</f>
        <v>186700</v>
      </c>
      <c r="N64" s="427">
        <f ca="1">IFERROR(__xludf.DUMMYFUNCTION("IMPORTRANGE(""https://docs.google.com/spreadsheets/d/1-uDff_7J0KD5mKrp0Vvzr7lt3OU09vwQwhkpOPPYv2Y/edit?usp=sharing"",""งบพรบ!AJ64"")"),93295.65)</f>
        <v>93295.65</v>
      </c>
      <c r="O64" s="427">
        <f ca="1">IF(L64&gt;0,N64*100/L64,0)</f>
        <v>37.894252640129977</v>
      </c>
      <c r="P64" s="427">
        <f ca="1">IF(M64&gt;0,N64*100/M64,0)</f>
        <v>49.970889126941614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IFERROR(__xludf.DUMMYFUNCTION("IMPORTRANGE(""https://docs.google.com/spreadsheets/d/1-uDff_7J0KD5mKrp0Vvzr7lt3OU09vwQwhkpOPPYv2Y/edit?usp=sharing"",""งบพรบ!AF64"")"),0)</f>
        <v>0</v>
      </c>
      <c r="M67" s="644">
        <f ca="1">IFERROR(__xludf.DUMMYFUNCTION("IMPORTRANGE(""https://docs.google.com/spreadsheets/d/1-uDff_7J0KD5mKrp0Vvzr7lt3OU09vwQwhkpOPPYv2Y/edit?usp=sharing"",""งบพรบ!AI64"")"),0)</f>
        <v>0</v>
      </c>
      <c r="N67" s="644">
        <f ca="1">IFERROR(__xludf.DUMMYFUNCTION("IMPORTRANGE(""https://docs.google.com/spreadsheets/d/1-uDff_7J0KD5mKrp0Vvzr7lt3OU09vwQwhkpOPPYv2Y/edit?usp=sharing"",""งบพรบ!AK64"")"),0)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IFERROR(__xludf.DUMMYFUNCTION("IMPORTRANGE(""https://docs.google.com/spreadsheets/d/1-uDff_7J0KD5mKrp0Vvzr7lt3OU09vwQwhkpOPPYv2Y/edit?usp=sharing"",""งบพรบ!AM64"")"),0)</f>
        <v>0</v>
      </c>
      <c r="M77" s="427">
        <f ca="1">IFERROR(__xludf.DUMMYFUNCTION("IMPORTRANGE(""https://docs.google.com/spreadsheets/d/1-uDff_7J0KD5mKrp0Vvzr7lt3OU09vwQwhkpOPPYv2Y/edit?usp=sharing"",""งบพรบ!AR64"")"),0)</f>
        <v>0</v>
      </c>
      <c r="N77" s="427">
        <f ca="1">IFERROR(__xludf.DUMMYFUNCTION("IMPORTRANGE(""https://docs.google.com/spreadsheets/d/1-uDff_7J0KD5mKrp0Vvzr7lt3OU09vwQwhkpOPPYv2Y/edit?usp=sharing"",""งบพรบ!AT64"")"),0)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IFERROR(__xludf.DUMMYFUNCTION("IMPORTRANGE(""https://docs.google.com/spreadsheets/d/1-uDff_7J0KD5mKrp0Vvzr7lt3OU09vwQwhkpOPPYv2Y/edit?usp=sharing"",""งบพรบ!AP64"")"),0)</f>
        <v>0</v>
      </c>
      <c r="M80" s="427">
        <f ca="1">IFERROR(__xludf.DUMMYFUNCTION("IMPORTRANGE(""https://docs.google.com/spreadsheets/d/1-uDff_7J0KD5mKrp0Vvzr7lt3OU09vwQwhkpOPPYv2Y/edit?usp=sharing"",""งบพรบ!AS64"")"),0)</f>
        <v>0</v>
      </c>
      <c r="N80" s="427">
        <f ca="1">IFERROR(__xludf.DUMMYFUNCTION("IMPORTRANGE(""https://docs.google.com/spreadsheets/d/1-uDff_7J0KD5mKrp0Vvzr7lt3OU09vwQwhkpOPPYv2Y/edit?usp=sharing"",""งบพรบ!AU64"")"),0)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IFERROR(__xludf.DUMMYFUNCTION("IMPORTRANGE(""https://docs.google.com/spreadsheets/d/1eHaY18a8A9IcSdp1K8H6x8fbOy06t2VsZHhMHf-1x7Y/edit?usp=sharing"",""แผน!H64"")"),0)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IFERROR(__xludf.DUMMYFUNCTION("IMPORTRANGE(""https://docs.google.com/spreadsheets/d/1eHaY18a8A9IcSdp1K8H6x8fbOy06t2VsZHhMHf-1x7Y/edit?usp=sharing"",""แผน!I64"")"),0)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IFERROR(__xludf.DUMMYFUNCTION("IMPORTRANGE(""https://docs.google.com/spreadsheets/d/1eHaY18a8A9IcSdp1K8H6x8fbOy06t2VsZHhMHf-1x7Y/edit?usp=sharing"",""แผน!F64"")"),0)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IFERROR(__xludf.DUMMYFUNCTION("IMPORTRANGE(""https://docs.google.com/spreadsheets/d/1eHaY18a8A9IcSdp1K8H6x8fbOy06t2VsZHhMHf-1x7Y/edit?usp=sharing"",""แผน!G64"")"),0)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IFERROR(__xludf.DUMMYFUNCTION("IMPORTRANGE(""https://docs.google.com/spreadsheets/d/1eHaY18a8A9IcSdp1K8H6x8fbOy06t2VsZHhMHf-1x7Y/edit?usp=sharing"",""แผน!D64"")"),0)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IFERROR(__xludf.DUMMYFUNCTION("IMPORTRANGE(""https://docs.google.com/spreadsheets/d/1eHaY18a8A9IcSdp1K8H6x8fbOy06t2VsZHhMHf-1x7Y/edit?usp=sharing"",""แผน!E64"")"),0)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IFERROR(__xludf.DUMMYFUNCTION("IMPORTRANGE(""https://docs.google.com/spreadsheets/d/1eHaY18a8A9IcSdp1K8H6x8fbOy06t2VsZHhMHf-1x7Y/edit?usp=sharing"",""แผน!J64"")"),0)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IFERROR(__xludf.DUMMYFUNCTION("IMPORTRANGE(""https://docs.google.com/spreadsheets/d/1-uDff_7J0KD5mKrp0Vvzr7lt3OU09vwQwhkpOPPYv2Y/edit?usp=sharing"",""งบพรบ!AW64"")"),0)</f>
        <v>0</v>
      </c>
      <c r="M99" s="427">
        <f ca="1">IFERROR(__xludf.DUMMYFUNCTION("IMPORTRANGE(""https://docs.google.com/spreadsheets/d/1-uDff_7J0KD5mKrp0Vvzr7lt3OU09vwQwhkpOPPYv2Y/edit?usp=sharing"",""งบพรบ!BB64"")"),0)</f>
        <v>0</v>
      </c>
      <c r="N99" s="427">
        <f ca="1">IFERROR(__xludf.DUMMYFUNCTION("IMPORTRANGE(""https://docs.google.com/spreadsheets/d/1-uDff_7J0KD5mKrp0Vvzr7lt3OU09vwQwhkpOPPYv2Y/edit?usp=sharing"",""งบพรบ!BD64"")"),0)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IFERROR(__xludf.DUMMYFUNCTION("IMPORTRANGE(""https://docs.google.com/spreadsheets/d/1-uDff_7J0KD5mKrp0Vvzr7lt3OU09vwQwhkpOPPYv2Y/edit?usp=sharing"",""งบพรบ!AZ64"")"),0)</f>
        <v>0</v>
      </c>
      <c r="M102" s="427">
        <f ca="1">IFERROR(__xludf.DUMMYFUNCTION("IMPORTRANGE(""https://docs.google.com/spreadsheets/d/1-uDff_7J0KD5mKrp0Vvzr7lt3OU09vwQwhkpOPPYv2Y/edit?usp=sharing"",""งบพรบ!BC64"")"),0)</f>
        <v>0</v>
      </c>
      <c r="N102" s="427">
        <f ca="1">IFERROR(__xludf.DUMMYFUNCTION("IMPORTRANGE(""https://docs.google.com/spreadsheets/d/1-uDff_7J0KD5mKrp0Vvzr7lt3OU09vwQwhkpOPPYv2Y/edit?usp=sharing"",""งบพรบ!BE64"")"),0)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IFERROR(__xludf.DUMMYFUNCTION("IMPORTRANGE(""https://docs.google.com/spreadsheets/d/1eHaY18a8A9IcSdp1K8H6x8fbOy06t2VsZHhMHf-1x7Y/edit?usp=sharing"",""แผน!N64"")"),0)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IFERROR(__xludf.DUMMYFUNCTION("IMPORTRANGE(""https://docs.google.com/spreadsheets/d/1eHaY18a8A9IcSdp1K8H6x8fbOy06t2VsZHhMHf-1x7Y/edit?usp=sharing"",""แผน!O64"")"),0)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IFERROR(__xludf.DUMMYFUNCTION("IMPORTRANGE(""https://docs.google.com/spreadsheets/d/1eHaY18a8A9IcSdp1K8H6x8fbOy06t2VsZHhMHf-1x7Y/edit?usp=sharing"",""แผน!R64"")"),0)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IFERROR(__xludf.DUMMYFUNCTION("IMPORTRANGE(""https://docs.google.com/spreadsheets/d/1-uDff_7J0KD5mKrp0Vvzr7lt3OU09vwQwhkpOPPYv2Y/edit?usp=sharing"",""งบพรบ!BG64"")"),0)</f>
        <v>0</v>
      </c>
      <c r="M130" s="886">
        <f ca="1">IFERROR(__xludf.DUMMYFUNCTION("IMPORTRANGE(""https://docs.google.com/spreadsheets/d/1-uDff_7J0KD5mKrp0Vvzr7lt3OU09vwQwhkpOPPYv2Y/edit?usp=sharing"",""งบพรบ!BL64"")"),0)</f>
        <v>0</v>
      </c>
      <c r="N130" s="886">
        <f ca="1">IFERROR(__xludf.DUMMYFUNCTION("IMPORTRANGE(""https://docs.google.com/spreadsheets/d/1-uDff_7J0KD5mKrp0Vvzr7lt3OU09vwQwhkpOPPYv2Y/edit?usp=sharing"",""งบพรบ!BN64"")"),0)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IFERROR(__xludf.DUMMYFUNCTION("IMPORTRANGE(""https://docs.google.com/spreadsheets/d/1-uDff_7J0KD5mKrp0Vvzr7lt3OU09vwQwhkpOPPYv2Y/edit?usp=sharing"",""งบพรบ!BJ64"")"),0)</f>
        <v>0</v>
      </c>
      <c r="M133" s="886">
        <f ca="1">IFERROR(__xludf.DUMMYFUNCTION("IMPORTRANGE(""https://docs.google.com/spreadsheets/d/1-uDff_7J0KD5mKrp0Vvzr7lt3OU09vwQwhkpOPPYv2Y/edit?usp=sharing"",""งบพรบ!BM64"")"),0)</f>
        <v>0</v>
      </c>
      <c r="N133" s="886">
        <f ca="1">IFERROR(__xludf.DUMMYFUNCTION("IMPORTRANGE(""https://docs.google.com/spreadsheets/d/1-uDff_7J0KD5mKrp0Vvzr7lt3OU09vwQwhkpOPPYv2Y/edit?usp=sharing"",""งบพรบ!BO64"")"),0)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IFERROR(__xludf.DUMMYFUNCTION("IMPORTRANGE(""https://docs.google.com/spreadsheets/d/1-uDff_7J0KD5mKrp0Vvzr7lt3OU09vwQwhkpOPPYv2Y/edit?usp=sharing"",""งบพรบ!BQ64"")"),0)</f>
        <v>0</v>
      </c>
      <c r="M144" s="427">
        <f ca="1">IFERROR(__xludf.DUMMYFUNCTION("IMPORTRANGE(""https://docs.google.com/spreadsheets/d/1-uDff_7J0KD5mKrp0Vvzr7lt3OU09vwQwhkpOPPYv2Y/edit?usp=sharing"",""งบพรบ!BV64"")"),0)</f>
        <v>0</v>
      </c>
      <c r="N144" s="427">
        <f ca="1">IFERROR(__xludf.DUMMYFUNCTION("IMPORTRANGE(""https://docs.google.com/spreadsheets/d/1-uDff_7J0KD5mKrp0Vvzr7lt3OU09vwQwhkpOPPYv2Y/edit?usp=sharing"",""งบพรบ!BX64"")"),0)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IFERROR(__xludf.DUMMYFUNCTION("IMPORTRANGE(""https://docs.google.com/spreadsheets/d/1-uDff_7J0KD5mKrp0Vvzr7lt3OU09vwQwhkpOPPYv2Y/edit?usp=sharing"",""งบพรบ!BT64"")"),0)</f>
        <v>0</v>
      </c>
      <c r="M147" s="427">
        <f ca="1">IFERROR(__xludf.DUMMYFUNCTION("IMPORTRANGE(""https://docs.google.com/spreadsheets/d/1-uDff_7J0KD5mKrp0Vvzr7lt3OU09vwQwhkpOPPYv2Y/edit?usp=sharing"",""งบพรบ!BW64"")"),0)</f>
        <v>0</v>
      </c>
      <c r="N147" s="427">
        <f ca="1">IFERROR(__xludf.DUMMYFUNCTION("IMPORTRANGE(""https://docs.google.com/spreadsheets/d/1-uDff_7J0KD5mKrp0Vvzr7lt3OU09vwQwhkpOPPYv2Y/edit?usp=sharing"",""งบพรบ!BY64"")"),0)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IFERROR(__xludf.DUMMYFUNCTION("IMPORTRANGE(""https://docs.google.com/spreadsheets/d/1eHaY18a8A9IcSdp1K8H6x8fbOy06t2VsZHhMHf-1x7Y/edit?usp=sharing"",""แผน!U64"")"),0)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IFERROR(__xludf.DUMMYFUNCTION("IMPORTRANGE(""https://docs.google.com/spreadsheets/d/1eHaY18a8A9IcSdp1K8H6x8fbOy06t2VsZHhMHf-1x7Y/edit?usp=sharing"",""แผน!V64"")"),0)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IFERROR(__xludf.DUMMYFUNCTION("IMPORTRANGE(""https://docs.google.com/spreadsheets/d/1eHaY18a8A9IcSdp1K8H6x8fbOy06t2VsZHhMHf-1x7Y/edit?usp=sharing"",""แผน!W64"")"),0)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IFERROR(__xludf.DUMMYFUNCTION("IMPORTRANGE(""https://docs.google.com/spreadsheets/d/1eHaY18a8A9IcSdp1K8H6x8fbOy06t2VsZHhMHf-1x7Y/edit?usp=sharing"",""แผน!X64"")"),0)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IFERROR(__xludf.DUMMYFUNCTION("IMPORTRANGE(""https://docs.google.com/spreadsheets/d/1eHaY18a8A9IcSdp1K8H6x8fbOy06t2VsZHhMHf-1x7Y/edit?usp=sharing"",""แผน!Y64"")"),0)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IFERROR(__xludf.DUMMYFUNCTION("IMPORTRANGE(""https://docs.google.com/spreadsheets/d/1-uDff_7J0KD5mKrp0Vvzr7lt3OU09vwQwhkpOPPYv2Y/edit?usp=sharing"",""งบพรบ!CA64"")"),3000)</f>
        <v>3000</v>
      </c>
      <c r="M162" s="427">
        <f ca="1">IFERROR(__xludf.DUMMYFUNCTION("IMPORTRANGE(""https://docs.google.com/spreadsheets/d/1-uDff_7J0KD5mKrp0Vvzr7lt3OU09vwQwhkpOPPYv2Y/edit?usp=sharing"",""งบพรบ!CF64"")"),0)</f>
        <v>0</v>
      </c>
      <c r="N162" s="427">
        <f ca="1">IFERROR(__xludf.DUMMYFUNCTION("IMPORTRANGE(""https://docs.google.com/spreadsheets/d/1-uDff_7J0KD5mKrp0Vvzr7lt3OU09vwQwhkpOPPYv2Y/edit?usp=sharing"",""งบพรบ!CH64"")"),0)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IFERROR(__xludf.DUMMYFUNCTION("IMPORTRANGE(""https://docs.google.com/spreadsheets/d/1-uDff_7J0KD5mKrp0Vvzr7lt3OU09vwQwhkpOPPYv2Y/edit?usp=sharing"",""งบพรบ!CD64"")"),0)</f>
        <v>0</v>
      </c>
      <c r="M165" s="427">
        <f ca="1">IFERROR(__xludf.DUMMYFUNCTION("IMPORTRANGE(""https://docs.google.com/spreadsheets/d/1-uDff_7J0KD5mKrp0Vvzr7lt3OU09vwQwhkpOPPYv2Y/edit?usp=sharing"",""งบพรบ!CG64"")"),0)</f>
        <v>0</v>
      </c>
      <c r="N165" s="427">
        <f ca="1">IFERROR(__xludf.DUMMYFUNCTION("IMPORTRANGE(""https://docs.google.com/spreadsheets/d/1-uDff_7J0KD5mKrp0Vvzr7lt3OU09vwQwhkpOPPYv2Y/edit?usp=sharing"",""งบพรบ!CI64"")"),0)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IFERROR(__xludf.DUMMYFUNCTION("IMPORTRANGE(""https://docs.google.com/spreadsheets/d/1eHaY18a8A9IcSdp1K8H6x8fbOy06t2VsZHhMHf-1x7Y/edit?usp=sharing"",""แผน!Z64"")"),10)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IFERROR(__xludf.DUMMYFUNCTION("IMPORTRANGE(""https://docs.google.com/spreadsheets/d/1-uDff_7J0KD5mKrp0Vvzr7lt3OU09vwQwhkpOPPYv2Y/edit?usp=sharing"",""งบพรบ!CK64"")"),19590)</f>
        <v>19590</v>
      </c>
      <c r="M178" s="427">
        <f ca="1">IFERROR(__xludf.DUMMYFUNCTION("IMPORTRANGE(""https://docs.google.com/spreadsheets/d/1-uDff_7J0KD5mKrp0Vvzr7lt3OU09vwQwhkpOPPYv2Y/edit?usp=sharing"",""งบพรบ!CP64"")"),19590)</f>
        <v>19590</v>
      </c>
      <c r="N178" s="427">
        <f ca="1">IFERROR(__xludf.DUMMYFUNCTION("IMPORTRANGE(""https://docs.google.com/spreadsheets/d/1-uDff_7J0KD5mKrp0Vvzr7lt3OU09vwQwhkpOPPYv2Y/edit?usp=sharing"",""งบพรบ!CR64"")"),0)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IFERROR(__xludf.DUMMYFUNCTION("IMPORTRANGE(""https://docs.google.com/spreadsheets/d/1-uDff_7J0KD5mKrp0Vvzr7lt3OU09vwQwhkpOPPYv2Y/edit?usp=sharing"",""งบพรบ!CN64"")"),0)</f>
        <v>0</v>
      </c>
      <c r="M181" s="427">
        <f ca="1">IFERROR(__xludf.DUMMYFUNCTION("IMPORTRANGE(""https://docs.google.com/spreadsheets/d/1-uDff_7J0KD5mKrp0Vvzr7lt3OU09vwQwhkpOPPYv2Y/edit?usp=sharing"",""งบพรบ!CQ64"")"),0)</f>
        <v>0</v>
      </c>
      <c r="N181" s="427">
        <f ca="1">IFERROR(__xludf.DUMMYFUNCTION("IMPORTRANGE(""https://docs.google.com/spreadsheets/d/1-uDff_7J0KD5mKrp0Vvzr7lt3OU09vwQwhkpOPPYv2Y/edit?usp=sharing"",""งบพรบ!CS64"")"),0)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IFERROR(__xludf.DUMMYFUNCTION("IMPORTRANGE(""https://docs.google.com/spreadsheets/d/1eHaY18a8A9IcSdp1K8H6x8fbOy06t2VsZHhMHf-1x7Y/edit?usp=sharing"",""แผน!AA64"")"),7)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40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513700</v>
      </c>
      <c r="M186" s="737">
        <f ca="1">M187+M188</f>
        <v>546925</v>
      </c>
      <c r="N186" s="737">
        <f ca="1">N187+N188</f>
        <v>245917.76</v>
      </c>
      <c r="O186" s="737">
        <f ca="1">IF(L186&gt;0,N186*100/L186,0)</f>
        <v>47.871862955032121</v>
      </c>
      <c r="P186" s="737">
        <f ca="1">IF(M186&gt;0,N186*100/M186,0)</f>
        <v>44.963708003839649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513700</v>
      </c>
      <c r="M188" s="427">
        <f ca="1">M191+M194</f>
        <v>546925</v>
      </c>
      <c r="N188" s="427">
        <f ca="1">N191+N194</f>
        <v>245917.76</v>
      </c>
      <c r="O188" s="427">
        <f ca="1">IF(L188&gt;0,N188*100/L188,0)</f>
        <v>47.871862955032121</v>
      </c>
      <c r="P188" s="427">
        <f ca="1">IF(M188&gt;0,N188*100/M188,0)</f>
        <v>44.963708003839649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513700</v>
      </c>
      <c r="M189" s="427">
        <f ca="1">M190+M191</f>
        <v>546925</v>
      </c>
      <c r="N189" s="427">
        <f ca="1">N190+N191</f>
        <v>245917.76</v>
      </c>
      <c r="O189" s="427">
        <f ca="1">IF(L189&gt;0,N189*100/L189,0)</f>
        <v>47.871862955032121</v>
      </c>
      <c r="P189" s="427">
        <f ca="1">IF(M189&gt;0,N189*100/M189,0)</f>
        <v>44.963708003839649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IFERROR(__xludf.DUMMYFUNCTION("IMPORTRANGE(""https://docs.google.com/spreadsheets/d/1-uDff_7J0KD5mKrp0Vvzr7lt3OU09vwQwhkpOPPYv2Y/edit?usp=sharing"",""งบพรบ!CU64"")"),513700)</f>
        <v>513700</v>
      </c>
      <c r="M191" s="427">
        <f ca="1">IFERROR(__xludf.DUMMYFUNCTION("IMPORTRANGE(""https://docs.google.com/spreadsheets/d/1-uDff_7J0KD5mKrp0Vvzr7lt3OU09vwQwhkpOPPYv2Y/edit?usp=sharing"",""งบพรบ!CZ64"")"),546925)</f>
        <v>546925</v>
      </c>
      <c r="N191" s="427">
        <f ca="1">IFERROR(__xludf.DUMMYFUNCTION("IMPORTRANGE(""https://docs.google.com/spreadsheets/d/1-uDff_7J0KD5mKrp0Vvzr7lt3OU09vwQwhkpOPPYv2Y/edit?usp=sharing"",""งบพรบ!DB64"")"),245917.76)</f>
        <v>245917.76</v>
      </c>
      <c r="O191" s="427">
        <f ca="1">IF(L191&gt;0,N191*100/L191,0)</f>
        <v>47.871862955032121</v>
      </c>
      <c r="P191" s="427">
        <f ca="1">IF(M191&gt;0,N191*100/M191,0)</f>
        <v>44.963708003839649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IFERROR(__xludf.DUMMYFUNCTION("IMPORTRANGE(""https://docs.google.com/spreadsheets/d/1-uDff_7J0KD5mKrp0Vvzr7lt3OU09vwQwhkpOPPYv2Y/edit?usp=sharing"",""งบพรบ!CX64"")"),0)</f>
        <v>0</v>
      </c>
      <c r="M194" s="427">
        <f ca="1">IFERROR(__xludf.DUMMYFUNCTION("IMPORTRANGE(""https://docs.google.com/spreadsheets/d/1-uDff_7J0KD5mKrp0Vvzr7lt3OU09vwQwhkpOPPYv2Y/edit?usp=sharing"",""งบพรบ!DA64"")"),0)</f>
        <v>0</v>
      </c>
      <c r="N194" s="427">
        <f ca="1">IFERROR(__xludf.DUMMYFUNCTION("IMPORTRANGE(""https://docs.google.com/spreadsheets/d/1-uDff_7J0KD5mKrp0Vvzr7lt3OU09vwQwhkpOPPYv2Y/edit?usp=sharing"",""งบพรบ!DC64"")"),0)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IFERROR(__xludf.DUMMYFUNCTION("IMPORTRANGE(""https://docs.google.com/spreadsheets/d/1eHaY18a8A9IcSdp1K8H6x8fbOy06t2VsZHhMHf-1x7Y/edit?usp=sharing"",""แผน!AB64"")"),6000)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IFERROR(__xludf.DUMMYFUNCTION("IMPORTRANGE(""https://docs.google.com/spreadsheets/d/1eHaY18a8A9IcSdp1K8H6x8fbOy06t2VsZHhMHf-1x7Y/edit?usp=sharing"",""แผน!AE64"")"),4)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26000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IFERROR(__xludf.DUMMYFUNCTION("IMPORTRANGE(""https://docs.google.com/spreadsheets/d/1eHaY18a8A9IcSdp1K8H6x8fbOy06t2VsZHhMHf-1x7Y/edit?usp=sharing"",""แผน!AG64"")"),2000)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IFERROR(__xludf.DUMMYFUNCTION("IMPORTRANGE(""https://docs.google.com/spreadsheets/d/1eHaY18a8A9IcSdp1K8H6x8fbOy06t2VsZHhMHf-1x7Y/edit?usp=sharing"",""แผน!AH64"")"),0)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IFERROR(__xludf.DUMMYFUNCTION("IMPORTRANGE(""https://docs.google.com/spreadsheets/d/1eHaY18a8A9IcSdp1K8H6x8fbOy06t2VsZHhMHf-1x7Y/edit?usp=sharing"",""แผน!AI64"")"),16000)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IFERROR(__xludf.DUMMYFUNCTION("IMPORTRANGE(""https://docs.google.com/spreadsheets/d/1eHaY18a8A9IcSdp1K8H6x8fbOy06t2VsZHhMHf-1x7Y/edit?usp=sharing"",""แผน!AJ64"")"),8000)</f>
        <v>8000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IFERROR(__xludf.DUMMYFUNCTION("IMPORTRANGE(""https://docs.google.com/spreadsheets/d/1eHaY18a8A9IcSdp1K8H6x8fbOy06t2VsZHhMHf-1x7Y/edit?usp=sharing"",""แผน!AK64"")"),2)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IFERROR(__xludf.DUMMYFUNCTION("IMPORTRANGE(""https://docs.google.com/spreadsheets/d/1eHaY18a8A9IcSdp1K8H6x8fbOy06t2VsZHhMHf-1x7Y/edit?usp=sharing"",""แผน!JX64"")"),2)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IFERROR(__xludf.DUMMYFUNCTION("IMPORTRANGE(""https://docs.google.com/spreadsheets/d/1eHaY18a8A9IcSdp1K8H6x8fbOy06t2VsZHhMHf-1x7Y/edit?usp=sharing"",""แผน!JY64"")"),0)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IFERROR(__xludf.DUMMYFUNCTION("IMPORTRANGE(""https://docs.google.com/spreadsheets/d/1eHaY18a8A9IcSdp1K8H6x8fbOy06t2VsZHhMHf-1x7Y/edit?usp=sharing"",""แผน!AM64"")"),0)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IFERROR(__xludf.DUMMYFUNCTION("IMPORTRANGE(""https://docs.google.com/spreadsheets/d/1eHaY18a8A9IcSdp1K8H6x8fbOy06t2VsZHhMHf-1x7Y/edit?usp=sharing"",""แผน!AN64"")"),0)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IFERROR(__xludf.DUMMYFUNCTION("IMPORTRANGE(""https://docs.google.com/spreadsheets/d/1eHaY18a8A9IcSdp1K8H6x8fbOy06t2VsZHhMHf-1x7Y/edit?usp=sharing"",""แผน!AO64"")"),0)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IFERROR(__xludf.DUMMYFUNCTION("IMPORTRANGE(""https://docs.google.com/spreadsheets/d/1eHaY18a8A9IcSdp1K8H6x8fbOy06t2VsZHhMHf-1x7Y/edit?usp=sharing"",""แผน!AP64"")"),0)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IFERROR(__xludf.DUMMYFUNCTION("IMPORTRANGE(""https://docs.google.com/spreadsheets/d/1eHaY18a8A9IcSdp1K8H6x8fbOy06t2VsZHhMHf-1x7Y/edit?usp=sharing"",""แผน!AP64"")"),0)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IFERROR(__xludf.DUMMYFUNCTION("IMPORTRANGE(""https://docs.google.com/spreadsheets/d/1eHaY18a8A9IcSdp1K8H6x8fbOy06t2VsZHhMHf-1x7Y/edit?usp=sharing"",""แผน!AR64"")"),3000)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IFERROR(__xludf.DUMMYFUNCTION("IMPORTRANGE(""https://docs.google.com/spreadsheets/d/1eHaY18a8A9IcSdp1K8H6x8fbOy06t2VsZHhMHf-1x7Y/edit?usp=sharing"",""แผน!AS64"")"),1500)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IFERROR(__xludf.DUMMYFUNCTION("IMPORTRANGE(""https://docs.google.com/spreadsheets/d/1eHaY18a8A9IcSdp1K8H6x8fbOy06t2VsZHhMHf-1x7Y/edit?usp=sharing"",""แผน!AT64"")"),0)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IFERROR(__xludf.DUMMYFUNCTION("IMPORTRANGE(""https://docs.google.com/spreadsheets/d/1eHaY18a8A9IcSdp1K8H6x8fbOy06t2VsZHhMHf-1x7Y/edit?usp=sharing"",""แผน!AV64"")"),20000)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IFERROR(__xludf.DUMMYFUNCTION("IMPORTRANGE(""https://docs.google.com/spreadsheets/d/1eHaY18a8A9IcSdp1K8H6x8fbOy06t2VsZHhMHf-1x7Y/edit?usp=sharing"",""แผน!AV64"")"),20000)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IFERROR(__xludf.DUMMYFUNCTION("IMPORTRANGE(""https://docs.google.com/spreadsheets/d/1eHaY18a8A9IcSdp1K8H6x8fbOy06t2VsZHhMHf-1x7Y/edit?usp=sharing"",""แผน!AU64"")"),0)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61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40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6"/>
      <c r="C232" s="53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213600</v>
      </c>
      <c r="M232" s="521"/>
      <c r="N232" s="545">
        <f>N243+N254</f>
        <v>16910</v>
      </c>
      <c r="O232" s="521"/>
      <c r="P232" s="521"/>
    </row>
    <row r="233" spans="1:16" ht="18.75" hidden="1" x14ac:dyDescent="0.25">
      <c r="A233" s="541"/>
      <c r="B233" s="529"/>
      <c r="C233" s="526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99000</v>
      </c>
      <c r="M233" s="521"/>
      <c r="N233" s="522">
        <f>N244+N255</f>
        <v>15500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3000</v>
      </c>
      <c r="M234" s="521"/>
      <c r="N234" s="522">
        <f>N245+N256</f>
        <v>1410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78600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33000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533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603" t="s">
        <v>33</v>
      </c>
      <c r="I238" s="201">
        <f ca="1">I249+I260</f>
        <v>40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533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603" t="s">
        <v>33</v>
      </c>
      <c r="I240" s="201">
        <f ca="1">I251+I262</f>
        <v>40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603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283" t="s">
        <v>165</v>
      </c>
      <c r="D242" s="284"/>
      <c r="E242" s="284"/>
      <c r="F242" s="284"/>
      <c r="G242" s="285"/>
      <c r="H242" s="286" t="s">
        <v>33</v>
      </c>
      <c r="I242" s="287">
        <f ca="1">I249</f>
        <v>40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53"/>
      <c r="C243" s="15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213600</v>
      </c>
      <c r="M243" s="58"/>
      <c r="N243" s="161">
        <f>N244+N245+N246+N247</f>
        <v>16910</v>
      </c>
      <c r="O243" s="161">
        <f ca="1">IF(L243&gt;0,N243*100/L243,0)</f>
        <v>7.916666666666667</v>
      </c>
      <c r="P243" s="161">
        <f>IF(M243&gt;0,N243*100/M243,0)</f>
        <v>0</v>
      </c>
    </row>
    <row r="244" spans="1:16" ht="18.75" x14ac:dyDescent="0.25">
      <c r="A244" s="157"/>
      <c r="B244" s="280"/>
      <c r="C244" s="53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IFERROR(__xludf.DUMMYFUNCTION("IMPORTRANGE(""https://docs.google.com/spreadsheets/d/1eHaY18a8A9IcSdp1K8H6x8fbOy06t2VsZHhMHf-1x7Y/edit?usp=sharing"",""แผน!AX64"")"),99000)</f>
        <v>99000</v>
      </c>
      <c r="M244" s="58"/>
      <c r="N244" s="620">
        <v>15500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IFERROR(__xludf.DUMMYFUNCTION("IMPORTRANGE(""https://docs.google.com/spreadsheets/d/1eHaY18a8A9IcSdp1K8H6x8fbOy06t2VsZHhMHf-1x7Y/edit?usp=sharing"",""แผน!AY64"")"),3000)</f>
        <v>3000</v>
      </c>
      <c r="M245" s="58"/>
      <c r="N245" s="620">
        <v>1410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IFERROR(__xludf.DUMMYFUNCTION("IMPORTRANGE(""https://docs.google.com/spreadsheets/d/1eHaY18a8A9IcSdp1K8H6x8fbOy06t2VsZHhMHf-1x7Y/edit?usp=sharing"",""แผน!AZ64"")"),78600)</f>
        <v>78600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IFERROR(__xludf.DUMMYFUNCTION("IMPORTRANGE(""https://docs.google.com/spreadsheets/d/1eHaY18a8A9IcSdp1K8H6x8fbOy06t2VsZHhMHf-1x7Y/edit?usp=sharing"",""แผน!BA64"")"),33000)</f>
        <v>33000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297" t="s">
        <v>33</v>
      </c>
      <c r="I249" s="196">
        <f ca="1">IFERROR(__xludf.DUMMYFUNCTION("IMPORTRANGE(""https://docs.google.com/spreadsheets/d/1eHaY18a8A9IcSdp1K8H6x8fbOy06t2VsZHhMHf-1x7Y/edit?usp=sharing"",""แผน!BG64"")"),40)</f>
        <v>40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297" t="s">
        <v>33</v>
      </c>
      <c r="I251" s="196">
        <f ca="1">IFERROR(__xludf.DUMMYFUNCTION("IMPORTRANGE(""https://docs.google.com/spreadsheets/d/1eHaY18a8A9IcSdp1K8H6x8fbOy06t2VsZHhMHf-1x7Y/edit?usp=sharing"",""แผน!KB64"")"),40)</f>
        <v>40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297" t="s">
        <v>54</v>
      </c>
      <c r="I252" s="196">
        <f ca="1">IFERROR(__xludf.DUMMYFUNCTION("IMPORTRANGE(""https://docs.google.com/spreadsheets/d/1eHaY18a8A9IcSdp1K8H6x8fbOy06t2VsZHhMHf-1x7Y/edit?usp=sharing"",""แผน!KC64"")"),1)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IFERROR(__xludf.DUMMYFUNCTION("IMPORTRANGE(""https://docs.google.com/spreadsheets/d/1eHaY18a8A9IcSdp1K8H6x8fbOy06t2VsZHhMHf-1x7Y/edit?usp=sharing"",""แผน!BB64"")"),0)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IFERROR(__xludf.DUMMYFUNCTION("IMPORTRANGE(""https://docs.google.com/spreadsheets/d/1eHaY18a8A9IcSdp1K8H6x8fbOy06t2VsZHhMHf-1x7Y/edit?usp=sharing"",""แผน!BC64"")"),0)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IFERROR(__xludf.DUMMYFUNCTION("IMPORTRANGE(""https://docs.google.com/spreadsheets/d/1eHaY18a8A9IcSdp1K8H6x8fbOy06t2VsZHhMHf-1x7Y/edit?usp=sharing"",""แผน!BD64"")"),0)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IFERROR(__xludf.DUMMYFUNCTION("IMPORTRANGE(""https://docs.google.com/spreadsheets/d/1eHaY18a8A9IcSdp1K8H6x8fbOy06t2VsZHhMHf-1x7Y/edit?usp=sharing"",""แผน!BE64"")"),0)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IFERROR(__xludf.DUMMYFUNCTION("IMPORTRANGE(""https://docs.google.com/spreadsheets/d/1eHaY18a8A9IcSdp1K8H6x8fbOy06t2VsZHhMHf-1x7Y/edit?usp=sharing"",""แผน!BH64"")"),0)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IFERROR(__xludf.DUMMYFUNCTION("IMPORTRANGE(""https://docs.google.com/spreadsheets/d/1-uDff_7J0KD5mKrp0Vvzr7lt3OU09vwQwhkpOPPYv2Y/edit?usp=sharing"",""งบพรบ!DE64"")"),0)</f>
        <v>0</v>
      </c>
      <c r="M271" s="522">
        <f ca="1">IFERROR(__xludf.DUMMYFUNCTION("IMPORTRANGE(""https://docs.google.com/spreadsheets/d/1-uDff_7J0KD5mKrp0Vvzr7lt3OU09vwQwhkpOPPYv2Y/edit?usp=sharing"",""งบพรบ!DJ64"")"),0)</f>
        <v>0</v>
      </c>
      <c r="N271" s="522">
        <f ca="1">IFERROR(__xludf.DUMMYFUNCTION("IMPORTRANGE(""https://docs.google.com/spreadsheets/d/1-uDff_7J0KD5mKrp0Vvzr7lt3OU09vwQwhkpOPPYv2Y/edit?usp=sharing"",""งบพรบ!DL64"")"),0)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IFERROR(__xludf.DUMMYFUNCTION("IMPORTRANGE(""https://docs.google.com/spreadsheets/d/1-uDff_7J0KD5mKrp0Vvzr7lt3OU09vwQwhkpOPPYv2Y/edit?usp=sharing"",""งบพรบ!DH64"")"),0)</f>
        <v>0</v>
      </c>
      <c r="M274" s="522">
        <f ca="1">IFERROR(__xludf.DUMMYFUNCTION("IMPORTRANGE(""https://docs.google.com/spreadsheets/d/1-uDff_7J0KD5mKrp0Vvzr7lt3OU09vwQwhkpOPPYv2Y/edit?usp=sharing"",""งบพรบ!DK64"")"),0)</f>
        <v>0</v>
      </c>
      <c r="N274" s="522">
        <f ca="1">IFERROR(__xludf.DUMMYFUNCTION("IMPORTRANGE(""https://docs.google.com/spreadsheets/d/1-uDff_7J0KD5mKrp0Vvzr7lt3OU09vwQwhkpOPPYv2Y/edit?usp=sharing"",""งบพรบ!DM64"")"),0)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IFERROR(__xludf.DUMMYFUNCTION("IMPORTRANGE(""https://docs.google.com/spreadsheets/d/1-uDff_7J0KD5mKrp0Vvzr7lt3OU09vwQwhkpOPPYv2Y/edit?usp=sharing"",""งบพรบ!DO64"")"),0)</f>
        <v>0</v>
      </c>
      <c r="M287" s="427">
        <f ca="1">IFERROR(__xludf.DUMMYFUNCTION("IMPORTRANGE(""https://docs.google.com/spreadsheets/d/1-uDff_7J0KD5mKrp0Vvzr7lt3OU09vwQwhkpOPPYv2Y/edit?usp=sharing"",""งบพรบ!DT64"")"),0)</f>
        <v>0</v>
      </c>
      <c r="N287" s="427">
        <f ca="1">IFERROR(__xludf.DUMMYFUNCTION("IMPORTRANGE(""https://docs.google.com/spreadsheets/d/1-uDff_7J0KD5mKrp0Vvzr7lt3OU09vwQwhkpOPPYv2Y/edit?usp=sharing"",""งบพรบ!DV64"")"),0)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IFERROR(__xludf.DUMMYFUNCTION("IMPORTRANGE(""https://docs.google.com/spreadsheets/d/1-uDff_7J0KD5mKrp0Vvzr7lt3OU09vwQwhkpOPPYv2Y/edit?usp=sharing"",""งบพรบ!DR64"")"),0)</f>
        <v>0</v>
      </c>
      <c r="M290" s="427">
        <f ca="1">IFERROR(__xludf.DUMMYFUNCTION("IMPORTRANGE(""https://docs.google.com/spreadsheets/d/1-uDff_7J0KD5mKrp0Vvzr7lt3OU09vwQwhkpOPPYv2Y/edit?usp=sharing"",""งบพรบ!DU64"")"),0)</f>
        <v>0</v>
      </c>
      <c r="N290" s="427">
        <f ca="1">IFERROR(__xludf.DUMMYFUNCTION("IMPORTRANGE(""https://docs.google.com/spreadsheets/d/1-uDff_7J0KD5mKrp0Vvzr7lt3OU09vwQwhkpOPPYv2Y/edit?usp=sharing"",""งบพรบ!DW64"")"),0)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IFERROR(__xludf.DUMMYFUNCTION("IMPORTRANGE(""https://docs.google.com/spreadsheets/d/1eHaY18a8A9IcSdp1K8H6x8fbOy06t2VsZHhMHf-1x7Y/edit?usp=sharing"",""แผน!EE64"")"),0)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IFERROR(__xludf.DUMMYFUNCTION("IMPORTRANGE(""https://docs.google.com/spreadsheets/d/1eHaY18a8A9IcSdp1K8H6x8fbOy06t2VsZHhMHf-1x7Y/edit?usp=sharing"",""แผน!ED64"")"),0)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IFERROR(__xludf.DUMMYFUNCTION("IMPORTRANGE(""https://docs.google.com/spreadsheets/d/1eHaY18a8A9IcSdp1K8H6x8fbOy06t2VsZHhMHf-1x7Y/edit?usp=sharing"",""แผน!ED64"")"),0)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IFERROR(__xludf.DUMMYFUNCTION("IMPORTRANGE(""https://docs.google.com/spreadsheets/d/1eHaY18a8A9IcSdp1K8H6x8fbOy06t2VsZHhMHf-1x7Y/edit?usp=sharing"",""แผน!ED64"")"),0)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20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82400</v>
      </c>
      <c r="M303" s="737">
        <f ca="1">M304+M305</f>
        <v>64400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82400</v>
      </c>
      <c r="M305" s="427">
        <f ca="1">M308+M311</f>
        <v>64400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82400</v>
      </c>
      <c r="M306" s="427">
        <f ca="1">M307+M308</f>
        <v>64400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IFERROR(__xludf.DUMMYFUNCTION("IMPORTRANGE(""https://docs.google.com/spreadsheets/d/1-uDff_7J0KD5mKrp0Vvzr7lt3OU09vwQwhkpOPPYv2Y/edit?usp=sharing"",""งบพรบ!DY64"")"),82400)</f>
        <v>82400</v>
      </c>
      <c r="M308" s="427">
        <f ca="1">IFERROR(__xludf.DUMMYFUNCTION("IMPORTRANGE(""https://docs.google.com/spreadsheets/d/1-uDff_7J0KD5mKrp0Vvzr7lt3OU09vwQwhkpOPPYv2Y/edit?usp=sharing"",""งบพรบ!ED64"")"),64400)</f>
        <v>64400</v>
      </c>
      <c r="N308" s="427">
        <f ca="1">IFERROR(__xludf.DUMMYFUNCTION("IMPORTRANGE(""https://docs.google.com/spreadsheets/d/1-uDff_7J0KD5mKrp0Vvzr7lt3OU09vwQwhkpOPPYv2Y/edit?usp=sharing"",""งบพรบ!EF64"")"),0)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IFERROR(__xludf.DUMMYFUNCTION("IMPORTRANGE(""https://docs.google.com/spreadsheets/d/1-uDff_7J0KD5mKrp0Vvzr7lt3OU09vwQwhkpOPPYv2Y/edit?usp=sharing"",""งบพรบ!EB64"")"),0)</f>
        <v>0</v>
      </c>
      <c r="M311" s="427">
        <f ca="1">IFERROR(__xludf.DUMMYFUNCTION("IMPORTRANGE(""https://docs.google.com/spreadsheets/d/1-uDff_7J0KD5mKrp0Vvzr7lt3OU09vwQwhkpOPPYv2Y/edit?usp=sharing"",""งบพรบ!EE64"")"),0)</f>
        <v>0</v>
      </c>
      <c r="N311" s="427">
        <f ca="1">IFERROR(__xludf.DUMMYFUNCTION("IMPORTRANGE(""https://docs.google.com/spreadsheets/d/1-uDff_7J0KD5mKrp0Vvzr7lt3OU09vwQwhkpOPPYv2Y/edit?usp=sharing"",""งบพรบ!EG64"")"),0)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IFERROR(__xludf.DUMMYFUNCTION("IMPORTRANGE(""https://docs.google.com/spreadsheets/d/1eHaY18a8A9IcSdp1K8H6x8fbOy06t2VsZHhMHf-1x7Y/edit?usp=sharing"",""แผน!EF64"")"),20)</f>
        <v>20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IFERROR(__xludf.DUMMYFUNCTION("IMPORTRANGE(""https://docs.google.com/spreadsheets/d/1eHaY18a8A9IcSdp1K8H6x8fbOy06t2VsZHhMHf-1x7Y/edit?usp=sharing"",""แผน!EG64"")"),4)</f>
        <v>4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IFERROR(__xludf.DUMMYFUNCTION("IMPORTRANGE(""https://docs.google.com/spreadsheets/d/1eHaY18a8A9IcSdp1K8H6x8fbOy06t2VsZHhMHf-1x7Y/edit?usp=sharing"",""แผน!EH64"")"),20)</f>
        <v>20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x14ac:dyDescent="0.25">
      <c r="A317" s="276"/>
      <c r="B317" s="280"/>
      <c r="C317" s="280"/>
      <c r="D317" s="336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IFERROR(__xludf.DUMMYFUNCTION("IMPORTRANGE(""https://docs.google.com/spreadsheets/d/1eHaY18a8A9IcSdp1K8H6x8fbOy06t2VsZHhMHf-1x7Y/edit?usp=sharing"",""แผน!EI64"")"),4)</f>
        <v>4</v>
      </c>
      <c r="J317" s="196">
        <v>0</v>
      </c>
      <c r="K317" s="61">
        <f ca="1">IF(I317&gt;0,J317*100/I317,0)</f>
        <v>0</v>
      </c>
      <c r="L317" s="58"/>
      <c r="M317" s="58"/>
      <c r="N317" s="58"/>
      <c r="O317" s="58"/>
      <c r="P317" s="58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IFERROR(__xludf.DUMMYFUNCTION("IMPORTRANGE(""https://docs.google.com/spreadsheets/d/1-uDff_7J0KD5mKrp0Vvzr7lt3OU09vwQwhkpOPPYv2Y/edit?usp=sharing"",""งบพรบ!EI64"")"),0)</f>
        <v>0</v>
      </c>
      <c r="M325" s="427">
        <f ca="1">IFERROR(__xludf.DUMMYFUNCTION("IMPORTRANGE(""https://docs.google.com/spreadsheets/d/1-uDff_7J0KD5mKrp0Vvzr7lt3OU09vwQwhkpOPPYv2Y/edit?usp=sharing"",""งบพรบ!EN64"")"),0)</f>
        <v>0</v>
      </c>
      <c r="N325" s="427">
        <f ca="1">IFERROR(__xludf.DUMMYFUNCTION("IMPORTRANGE(""https://docs.google.com/spreadsheets/d/1-uDff_7J0KD5mKrp0Vvzr7lt3OU09vwQwhkpOPPYv2Y/edit?usp=sharing"",""งบพรบ!EP64"")"),0)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IFERROR(__xludf.DUMMYFUNCTION("IMPORTRANGE(""https://docs.google.com/spreadsheets/d/1-uDff_7J0KD5mKrp0Vvzr7lt3OU09vwQwhkpOPPYv2Y/edit?usp=sharing"",""งบพรบ!EL64"")"),0)</f>
        <v>0</v>
      </c>
      <c r="M328" s="427">
        <f ca="1">IFERROR(__xludf.DUMMYFUNCTION("IMPORTRANGE(""https://docs.google.com/spreadsheets/d/1-uDff_7J0KD5mKrp0Vvzr7lt3OU09vwQwhkpOPPYv2Y/edit?usp=sharing"",""งบพรบ!EO64"")"),0)</f>
        <v>0</v>
      </c>
      <c r="N328" s="427">
        <f ca="1">IFERROR(__xludf.DUMMYFUNCTION("IMPORTRANGE(""https://docs.google.com/spreadsheets/d/1-uDff_7J0KD5mKrp0Vvzr7lt3OU09vwQwhkpOPPYv2Y/edit?usp=sharing"",""งบพรบ!EQ64"")"),0)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IFERROR(__xludf.DUMMYFUNCTION("IMPORTRANGE(""https://docs.google.com/spreadsheets/d/1eHaY18a8A9IcSdp1K8H6x8fbOy06t2VsZHhMHf-1x7Y/edit?usp=sharing"",""แผน!EJ64"")"),0)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540</v>
      </c>
      <c r="J332" s="404">
        <f ca="1">J344+J347+J348+J349+J353</f>
        <v>544</v>
      </c>
      <c r="K332" s="405">
        <f ca="1">IF(I332&gt;0,J332*100/I332,0)</f>
        <v>100.74074074074075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351600</v>
      </c>
      <c r="M333" s="737">
        <f ca="1">M334+M335</f>
        <v>255350</v>
      </c>
      <c r="N333" s="737">
        <f ca="1">N334+N335</f>
        <v>81920</v>
      </c>
      <c r="O333" s="737">
        <f ca="1">IF(L333&gt;0,N333*100/L333,0)</f>
        <v>23.299203640500568</v>
      </c>
      <c r="P333" s="737">
        <f ca="1">IF(M333&gt;0,N333*100/M333,0)</f>
        <v>32.081456823967102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351600</v>
      </c>
      <c r="M335" s="427">
        <f ca="1">M338+M341</f>
        <v>255350</v>
      </c>
      <c r="N335" s="427">
        <f ca="1">N338+N341</f>
        <v>81920</v>
      </c>
      <c r="O335" s="427">
        <f ca="1">IF(L335&gt;0,N335*100/L335,0)</f>
        <v>23.299203640500568</v>
      </c>
      <c r="P335" s="427">
        <f ca="1">IF(M335&gt;0,N335*100/M335,0)</f>
        <v>32.081456823967102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351600</v>
      </c>
      <c r="M336" s="427">
        <f ca="1">M337+M338</f>
        <v>255350</v>
      </c>
      <c r="N336" s="427">
        <f ca="1">N337+N338</f>
        <v>81920</v>
      </c>
      <c r="O336" s="427">
        <f ca="1">IF(L336&gt;0,N336*100/L336,0)</f>
        <v>23.299203640500568</v>
      </c>
      <c r="P336" s="427">
        <f ca="1">IF(M336&gt;0,N336*100/M336,0)</f>
        <v>32.081456823967102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IFERROR(__xludf.DUMMYFUNCTION("IMPORTRANGE(""https://docs.google.com/spreadsheets/d/1-uDff_7J0KD5mKrp0Vvzr7lt3OU09vwQwhkpOPPYv2Y/edit?usp=sharing"",""งบพรบ!ES64"")"),351600)</f>
        <v>351600</v>
      </c>
      <c r="M338" s="427">
        <f ca="1">IFERROR(__xludf.DUMMYFUNCTION("IMPORTRANGE(""https://docs.google.com/spreadsheets/d/1-uDff_7J0KD5mKrp0Vvzr7lt3OU09vwQwhkpOPPYv2Y/edit?usp=sharing"",""งบพรบ!EX64"")"),255350)</f>
        <v>255350</v>
      </c>
      <c r="N338" s="427">
        <f ca="1">IFERROR(__xludf.DUMMYFUNCTION("IMPORTRANGE(""https://docs.google.com/spreadsheets/d/1-uDff_7J0KD5mKrp0Vvzr7lt3OU09vwQwhkpOPPYv2Y/edit?usp=sharing"",""งบพรบ!EZ64"")"),81920)</f>
        <v>81920</v>
      </c>
      <c r="O338" s="427">
        <f ca="1">IF(L338&gt;0,N338*100/L338,0)</f>
        <v>23.299203640500568</v>
      </c>
      <c r="P338" s="427">
        <f ca="1">IF(M338&gt;0,N338*100/M338,0)</f>
        <v>32.081456823967102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IFERROR(__xludf.DUMMYFUNCTION("IMPORTRANGE(""https://docs.google.com/spreadsheets/d/1-uDff_7J0KD5mKrp0Vvzr7lt3OU09vwQwhkpOPPYv2Y/edit?usp=sharing"",""งบพรบ!EV64"")"),0)</f>
        <v>0</v>
      </c>
      <c r="M341" s="427">
        <f ca="1">IFERROR(__xludf.DUMMYFUNCTION("IMPORTRANGE(""https://docs.google.com/spreadsheets/d/1-uDff_7J0KD5mKrp0Vvzr7lt3OU09vwQwhkpOPPYv2Y/edit?usp=sharing"",""งบพรบ!EY64"")"),0)</f>
        <v>0</v>
      </c>
      <c r="N341" s="427">
        <f ca="1">IFERROR(__xludf.DUMMYFUNCTION("IMPORTRANGE(""https://docs.google.com/spreadsheets/d/1-uDff_7J0KD5mKrp0Vvzr7lt3OU09vwQwhkpOPPYv2Y/edit?usp=sharing"",""งบพรบ!FA64"")"),0)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544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IFERROR(__xludf.DUMMYFUNCTION("IMPORTRANGE(""https://docs.google.com/spreadsheets/d/1eHaY18a8A9IcSdp1K8H6x8fbOy06t2VsZHhMHf-1x7Y/edit?usp=sharing"",""แผน!EK64"")"),540)</f>
        <v>540</v>
      </c>
      <c r="J344" s="426">
        <f ca="1">IFERROR(__xludf.DUMMYFUNCTION("IMPORTRANGE(""https://docs.google.com/spreadsheets/d/1awYsYK3VOup2i3Pq_Yjnu8DRu_mYwSBnCR2QPthd0rU/edit?usp=sharing"",""ศูนย์ยกเว้นโฉนด!D64"")"),532)</f>
        <v>532</v>
      </c>
      <c r="K344" s="427">
        <f ca="1">IF(I344&gt;0,J344*100/I344,0)</f>
        <v>98.518518518518519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IFERROR(__xludf.DUMMYFUNCTION("IMPORTRANGE(""https://docs.google.com/spreadsheets/d/1eHaY18a8A9IcSdp1K8H6x8fbOy06t2VsZHhMHf-1x7Y/edit?usp=sharing"",""แผน!EL64"")"),2)</f>
        <v>2</v>
      </c>
      <c r="J346" s="426">
        <f ca="1">IFERROR(__xludf.DUMMYFUNCTION("IMPORTRANGE(""https://docs.google.com/spreadsheets/d/1awYsYK3VOup2i3Pq_Yjnu8DRu_mYwSBnCR2QPthd0rU/edit?usp=sharing"",""ศูนย์รวม!E64"")"),0)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IFERROR(__xludf.DUMMYFUNCTION("IMPORTRANGE(""https://docs.google.com/spreadsheets/d/1awYsYK3VOup2i3Pq_Yjnu8DRu_mYwSBnCR2QPthd0rU/edit?usp=sharing"",""ศูนย์ยกเว้นโฉนด!F64"")"),0)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IFERROR(__xludf.DUMMYFUNCTION("IMPORTRANGE(""https://docs.google.com/spreadsheets/d/1awYsYK3VOup2i3Pq_Yjnu8DRu_mYwSBnCR2QPthd0rU/edit?usp=sharing"",""ศูนย์ยกเว้นโฉนด!G64"")"),12)</f>
        <v>12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IFERROR(__xludf.DUMMYFUNCTION("IMPORTRANGE(""https://docs.google.com/spreadsheets/d/1awYsYK3VOup2i3Pq_Yjnu8DRu_mYwSBnCR2QPthd0rU/edit?usp=sharing"",""ศูนย์ยกเว้นโฉนด!H64"")"),0)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IFERROR(__xludf.DUMMYFUNCTION("IMPORTRANGE(""https://docs.google.com/spreadsheets/d/1awYsYK3VOup2i3Pq_Yjnu8DRu_mYwSBnCR2QPthd0rU/edit?usp=sharing"",""โฉนดM3!G64"")"),0)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IFERROR(__xludf.DUMMYFUNCTION("IMPORTRANGE(""https://docs.google.com/spreadsheets/d/1awYsYK3VOup2i3Pq_Yjnu8DRu_mYwSBnCR2QPthd0rU/edit?usp=sharing"",""โฉนดM3!H64"")"),0)</f>
        <v>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115055</v>
      </c>
      <c r="M356" s="737">
        <f ca="1">M357+M358</f>
        <v>89055</v>
      </c>
      <c r="N356" s="737">
        <f ca="1">N357+N358</f>
        <v>25161.29</v>
      </c>
      <c r="O356" s="737">
        <f ca="1">IF(L356&gt;0,N356*100/L356,0)</f>
        <v>21.868923558298206</v>
      </c>
      <c r="P356" s="737">
        <f ca="1">IF(M356&gt;0,N356*100/M356,0)</f>
        <v>28.253652237381395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115055</v>
      </c>
      <c r="M358" s="427">
        <f ca="1">M361+M364</f>
        <v>89055</v>
      </c>
      <c r="N358" s="427">
        <f ca="1">N361+N364</f>
        <v>25161.29</v>
      </c>
      <c r="O358" s="427">
        <f ca="1">IF(L358&gt;0,N358*100/L358,0)</f>
        <v>21.868923558298206</v>
      </c>
      <c r="P358" s="427">
        <f ca="1">IF(M358&gt;0,N358*100/M358,0)</f>
        <v>28.253652237381395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115055</v>
      </c>
      <c r="M359" s="427">
        <f ca="1">M360+M361</f>
        <v>89055</v>
      </c>
      <c r="N359" s="427">
        <f ca="1">N360+N361</f>
        <v>25161.29</v>
      </c>
      <c r="O359" s="427">
        <f ca="1">IF(L359&gt;0,N359*100/L359,0)</f>
        <v>21.868923558298206</v>
      </c>
      <c r="P359" s="427">
        <f ca="1">IF(M359&gt;0,N359*100/M359,0)</f>
        <v>28.253652237381395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IFERROR(__xludf.DUMMYFUNCTION("IMPORTRANGE(""https://docs.google.com/spreadsheets/d/1-uDff_7J0KD5mKrp0Vvzr7lt3OU09vwQwhkpOPPYv2Y/edit?usp=sharing"",""งบพรบ!FC64"")"),115055)</f>
        <v>115055</v>
      </c>
      <c r="M361" s="427">
        <f ca="1">IFERROR(__xludf.DUMMYFUNCTION("IMPORTRANGE(""https://docs.google.com/spreadsheets/d/1-uDff_7J0KD5mKrp0Vvzr7lt3OU09vwQwhkpOPPYv2Y/edit?usp=sharing"",""งบพรบ!FH64"")"),89055)</f>
        <v>89055</v>
      </c>
      <c r="N361" s="427">
        <f ca="1">IFERROR(__xludf.DUMMYFUNCTION("IMPORTRANGE(""https://docs.google.com/spreadsheets/d/1-uDff_7J0KD5mKrp0Vvzr7lt3OU09vwQwhkpOPPYv2Y/edit?usp=sharing"",""งบพรบ!FJ64"")"),25161.29)</f>
        <v>25161.29</v>
      </c>
      <c r="O361" s="427">
        <f ca="1">IF(L361&gt;0,N361*100/L361,0)</f>
        <v>21.868923558298206</v>
      </c>
      <c r="P361" s="427">
        <f ca="1">IF(M361&gt;0,N361*100/M361,0)</f>
        <v>28.253652237381395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IFERROR(__xludf.DUMMYFUNCTION("IMPORTRANGE(""https://docs.google.com/spreadsheets/d/1-uDff_7J0KD5mKrp0Vvzr7lt3OU09vwQwhkpOPPYv2Y/edit?usp=sharing"",""งบพรบ!FF64"")"),0)</f>
        <v>0</v>
      </c>
      <c r="M364" s="427">
        <f ca="1">IFERROR(__xludf.DUMMYFUNCTION("IMPORTRANGE(""https://docs.google.com/spreadsheets/d/1-uDff_7J0KD5mKrp0Vvzr7lt3OU09vwQwhkpOPPYv2Y/edit?usp=sharing"",""งบพรบ!FI64"")"),0)</f>
        <v>0</v>
      </c>
      <c r="N364" s="427">
        <f ca="1">IFERROR(__xludf.DUMMYFUNCTION("IMPORTRANGE(""https://docs.google.com/spreadsheets/d/1-uDff_7J0KD5mKrp0Vvzr7lt3OU09vwQwhkpOPPYv2Y/edit?usp=sharing"",""งบพรบ!FK64"")"),0)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0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IFERROR(__xludf.DUMMYFUNCTION("IMPORTRANGE(""https://docs.google.com/spreadsheets/d/1tdoBKaGub7dwA3U6UFTqxio9LNnvDCQjHKmttSEBsFQ/edit?usp=sharing"",""จัดที่ดิน!AB64"")"),0)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IFERROR(__xludf.DUMMYFUNCTION("IMPORTRANGE(""https://docs.google.com/spreadsheets/d/1eHaY18a8A9IcSdp1K8H6x8fbOy06t2VsZHhMHf-1x7Y/edit?usp=sharing"",""แผน!EW64"")"),0)</f>
        <v>0</v>
      </c>
      <c r="J368" s="726">
        <f ca="1">IFERROR(__xludf.DUMMYFUNCTION("IMPORTRANGE(""https://docs.google.com/spreadsheets/d/1tdoBKaGub7dwA3U6UFTqxio9LNnvDCQjHKmttSEBsFQ/edit?usp=sharing"",""จัดที่ดิน!AC64"")"),0)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IFERROR(__xludf.DUMMYFUNCTION("IMPORTRANGE(""https://docs.google.com/spreadsheets/d/1eHaY18a8A9IcSdp1K8H6x8fbOy06t2VsZHhMHf-1x7Y/edit?usp=sharing"",""แผน!EX64"")"),0)</f>
        <v>0</v>
      </c>
      <c r="J369" s="426">
        <f ca="1">IFERROR(__xludf.DUMMYFUNCTION("IMPORTRANGE(""https://docs.google.com/spreadsheets/d/1tdoBKaGub7dwA3U6UFTqxio9LNnvDCQjHKmttSEBsFQ/edit?usp=sharing"",""จัดที่ดิน!AD64"")"),0)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IFERROR(__xludf.DUMMYFUNCTION("IMPORTRANGE(""https://docs.google.com/spreadsheets/d/1tdoBKaGub7dwA3U6UFTqxio9LNnvDCQjHKmttSEBsFQ/edit?usp=sharing"",""จัดที่ดิน!AE64"")"),0)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IFERROR(__xludf.DUMMYFUNCTION("IMPORTRANGE(""https://docs.google.com/spreadsheets/d/1eHaY18a8A9IcSdp1K8H6x8fbOy06t2VsZHhMHf-1x7Y/edit?usp=sharing"",""แผน!EY64"")"),0)</f>
        <v>0</v>
      </c>
      <c r="J371" s="426">
        <f ca="1">IFERROR(__xludf.DUMMYFUNCTION("IMPORTRANGE(""https://docs.google.com/spreadsheets/d/1tdoBKaGub7dwA3U6UFTqxio9LNnvDCQjHKmttSEBsFQ/edit?usp=sharing"",""จัดที่ดิน!AF64"")"),0)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IFERROR(__xludf.DUMMYFUNCTION("IMPORTRANGE(""https://docs.google.com/spreadsheets/d/1tdoBKaGub7dwA3U6UFTqxio9LNnvDCQjHKmttSEBsFQ/edit?usp=sharing"",""จัดที่ดิน!AG64"")"),0)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IFERROR(__xludf.DUMMYFUNCTION("IMPORTRANGE(""https://docs.google.com/spreadsheets/d/1-uDff_7J0KD5mKrp0Vvzr7lt3OU09vwQwhkpOPPYv2Y/edit?usp=sharing"",""งบพรบ!FM64"")"),0)</f>
        <v>0</v>
      </c>
      <c r="M382" s="522">
        <f ca="1">IFERROR(__xludf.DUMMYFUNCTION("IMPORTRANGE(""https://docs.google.com/spreadsheets/d/1-uDff_7J0KD5mKrp0Vvzr7lt3OU09vwQwhkpOPPYv2Y/edit?usp=sharing"",""งบพรบ!FR64"")"),0)</f>
        <v>0</v>
      </c>
      <c r="N382" s="522">
        <f ca="1">IFERROR(__xludf.DUMMYFUNCTION("IMPORTRANGE(""https://docs.google.com/spreadsheets/d/1-uDff_7J0KD5mKrp0Vvzr7lt3OU09vwQwhkpOPPYv2Y/edit?usp=sharing"",""งบพรบ!FT64"")"),0)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IFERROR(__xludf.DUMMYFUNCTION("IMPORTRANGE(""https://docs.google.com/spreadsheets/d/1-uDff_7J0KD5mKrp0Vvzr7lt3OU09vwQwhkpOPPYv2Y/edit?usp=sharing"",""งบพรบ!FP64"")"),0)</f>
        <v>0</v>
      </c>
      <c r="M385" s="522">
        <f ca="1">IFERROR(__xludf.DUMMYFUNCTION("IMPORTRANGE(""https://docs.google.com/spreadsheets/d/1-uDff_7J0KD5mKrp0Vvzr7lt3OU09vwQwhkpOPPYv2Y/edit?usp=sharing"",""งบพรบ!FS64"")"),0)</f>
        <v>0</v>
      </c>
      <c r="N385" s="522">
        <f ca="1">IFERROR(__xludf.DUMMYFUNCTION("IMPORTRANGE(""https://docs.google.com/spreadsheets/d/1-uDff_7J0KD5mKrp0Vvzr7lt3OU09vwQwhkpOPPYv2Y/edit?usp=sharing"",""งบพรบ!FU64"")"),0)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85D9E-C5F3-4842-B80F-1986E0AB838A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177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1329380</v>
      </c>
      <c r="M18" s="865">
        <f ca="1">M19+M20</f>
        <v>1069480</v>
      </c>
      <c r="N18" s="865">
        <f ca="1">N19+N20</f>
        <v>408427.35</v>
      </c>
      <c r="O18" s="865">
        <f ca="1">IF(L18&gt;0,N18*100/L18,0)</f>
        <v>30.723145376039959</v>
      </c>
      <c r="P18" s="865">
        <f ca="1">IF(M18&gt;0,N18*100/M18,0)</f>
        <v>38.189339679096385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1329380</v>
      </c>
      <c r="M20" s="972">
        <f ca="1">M23+M26</f>
        <v>1069480</v>
      </c>
      <c r="N20" s="972">
        <f ca="1">N23+N26</f>
        <v>408427.35</v>
      </c>
      <c r="O20" s="972">
        <f ca="1">IF(L20&gt;0,N20*100/L20,0)</f>
        <v>30.723145376039959</v>
      </c>
      <c r="P20" s="972">
        <f ca="1">IF(M20&gt;0,N20*100/M20,0)</f>
        <v>38.189339679096385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1329380</v>
      </c>
      <c r="M21" s="427">
        <f ca="1">M22+M23</f>
        <v>1069480</v>
      </c>
      <c r="N21" s="427">
        <f ca="1">N22+N23</f>
        <v>408427.35</v>
      </c>
      <c r="O21" s="427">
        <f ca="1">IF(L21&gt;0,N21*100/L21,0)</f>
        <v>30.723145376039959</v>
      </c>
      <c r="P21" s="427">
        <f ca="1">IF(M21&gt;0,N21*100/M21,0)</f>
        <v>38.189339679096385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1329380</v>
      </c>
      <c r="M23" s="427">
        <f ca="1">M49+M64+M77+M99+M130+M144+M162+M191+M178+M271+M287+M308+M325+M338+M361+M382</f>
        <v>1069480</v>
      </c>
      <c r="N23" s="427">
        <f ca="1">N49+N64+N77+N99+N130+N144+N162+N191+N178+N271+N287+N308+N325+N338+N361+N382</f>
        <v>408427.35</v>
      </c>
      <c r="O23" s="427">
        <f ca="1">IF(L23&gt;0,N23*100/L23,0)</f>
        <v>30.723145376039959</v>
      </c>
      <c r="P23" s="427">
        <f ca="1">IF(M23&gt;0,N23*100/M23,0)</f>
        <v>38.189339679096385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1329380</v>
      </c>
      <c r="M40" s="964">
        <f ca="1">M44+M59+M72+M94+M125+M139+M157+M173+M186+M266+M282+M303+M320+M333+M356</f>
        <v>1069480</v>
      </c>
      <c r="N40" s="964">
        <f ca="1">N44+N59+N72+N94+N125+N139+N157+N173+N186+N266+N282+N303+N320+N333+N356</f>
        <v>408427.35</v>
      </c>
      <c r="O40" s="964">
        <f ca="1">IF(L40&gt;0,N40*100/L40,0)</f>
        <v>30.723145376039959</v>
      </c>
      <c r="P40" s="964">
        <f ca="1">IF(M40&gt;0,N40*100/M40,0)</f>
        <v>38.189339679096385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239400</v>
      </c>
      <c r="M44" s="949">
        <f ca="1">M45+M46</f>
        <v>243900</v>
      </c>
      <c r="N44" s="949">
        <f ca="1">N45+N46</f>
        <v>65300</v>
      </c>
      <c r="O44" s="949">
        <f ca="1">IF(L44&gt;0,N44*100/L44,0)</f>
        <v>27.276524644945699</v>
      </c>
      <c r="P44" s="949">
        <f ca="1">IF(M44&gt;0,N44*100/M44,0)</f>
        <v>26.773267732677326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239400</v>
      </c>
      <c r="M46" s="941">
        <f ca="1">M49+M52</f>
        <v>243900</v>
      </c>
      <c r="N46" s="941">
        <f ca="1">N49+N52</f>
        <v>65300</v>
      </c>
      <c r="O46" s="941">
        <f ca="1">IF(L46&gt;0,N46*100/L46,0)</f>
        <v>27.276524644945699</v>
      </c>
      <c r="P46" s="941">
        <f ca="1">IF(M46&gt;0,N46*100/M46,0)</f>
        <v>26.773267732677326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239400</v>
      </c>
      <c r="M47" s="427">
        <f ca="1">M48+M49</f>
        <v>243900</v>
      </c>
      <c r="N47" s="427">
        <f ca="1">N48+N49</f>
        <v>65300</v>
      </c>
      <c r="O47" s="427">
        <f ca="1">IF(L47&gt;0,N47*100/L47,0)</f>
        <v>27.276524644945699</v>
      </c>
      <c r="P47" s="427">
        <f ca="1">IF(M47&gt;0,N47*100/M47,0)</f>
        <v>26.773267732677326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IFERROR(__xludf.DUMMYFUNCTION("IMPORTRANGE(""https://docs.google.com/spreadsheets/d/1-uDff_7J0KD5mKrp0Vvzr7lt3OU09vwQwhkpOPPYv2Y/edit?usp=sharing"",""งบพรบ!P65"")"),239400)</f>
        <v>239400</v>
      </c>
      <c r="M49" s="427">
        <f ca="1">IFERROR(__xludf.DUMMYFUNCTION("IMPORTRANGE(""https://docs.google.com/spreadsheets/d/1-uDff_7J0KD5mKrp0Vvzr7lt3OU09vwQwhkpOPPYv2Y/edit?usp=sharing"",""งบพรบ!V65"")"),243900)</f>
        <v>243900</v>
      </c>
      <c r="N49" s="427">
        <f ca="1">IFERROR(__xludf.DUMMYFUNCTION("IMPORTRANGE(""https://docs.google.com/spreadsheets/d/1-uDff_7J0KD5mKrp0Vvzr7lt3OU09vwQwhkpOPPYv2Y/edit?usp=sharing"",""งบพรบ!Y65"")"),65300)</f>
        <v>65300</v>
      </c>
      <c r="O49" s="427">
        <f ca="1">IF(L49&gt;0,N49*100/L49,0)</f>
        <v>27.276524644945699</v>
      </c>
      <c r="P49" s="427">
        <f ca="1">IF(M49&gt;0,N49*100/M49,0)</f>
        <v>26.773267732677326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IFERROR(__xludf.DUMMYFUNCTION("IMPORTRANGE(""https://docs.google.com/spreadsheets/d/1-uDff_7J0KD5mKrp0Vvzr7lt3OU09vwQwhkpOPPYv2Y/edit?usp=sharing"",""งบพรบ!S65"")"),0)</f>
        <v>0</v>
      </c>
      <c r="M52" s="427">
        <f ca="1">IFERROR(__xludf.DUMMYFUNCTION("IMPORTRANGE(""https://docs.google.com/spreadsheets/d/1-uDff_7J0KD5mKrp0Vvzr7lt3OU09vwQwhkpOPPYv2Y/edit?usp=sharing"",""งบพรบ!W65"")"),0)</f>
        <v>0</v>
      </c>
      <c r="N52" s="427">
        <f ca="1">IFERROR(__xludf.DUMMYFUNCTION("IMPORTRANGE(""https://docs.google.com/spreadsheets/d/1-uDff_7J0KD5mKrp0Vvzr7lt3OU09vwQwhkpOPPYv2Y/edit?usp=sharing"",""งบพรบ!Z65"")"),0)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465300</v>
      </c>
      <c r="M59" s="921">
        <f ca="1">M60+M61</f>
        <v>350850</v>
      </c>
      <c r="N59" s="921">
        <f ca="1">N60+N61</f>
        <v>226047.35</v>
      </c>
      <c r="O59" s="921">
        <f ca="1">IF(L59&gt;0,N59*100/L59,0)</f>
        <v>48.58099075865033</v>
      </c>
      <c r="P59" s="921">
        <f ca="1">IF(M59&gt;0,N59*100/M59,0)</f>
        <v>64.428487957816728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465300</v>
      </c>
      <c r="M61" s="913">
        <f ca="1">M64+M67</f>
        <v>350850</v>
      </c>
      <c r="N61" s="913">
        <f ca="1">N64+N67</f>
        <v>226047.35</v>
      </c>
      <c r="O61" s="913">
        <f ca="1">IF(L61&gt;0,N61*100/L61,0)</f>
        <v>48.58099075865033</v>
      </c>
      <c r="P61" s="913">
        <f ca="1">IF(M61&gt;0,N61*100/M61,0)</f>
        <v>64.428487957816728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465300</v>
      </c>
      <c r="M62" s="427">
        <f ca="1">M63+M64</f>
        <v>350850</v>
      </c>
      <c r="N62" s="427">
        <f ca="1">N63+N64</f>
        <v>226047.35</v>
      </c>
      <c r="O62" s="427">
        <f ca="1">IF(L62&gt;0,N62*100/L62,0)</f>
        <v>48.58099075865033</v>
      </c>
      <c r="P62" s="427">
        <f ca="1">IF(M62&gt;0,N62*100/M62,0)</f>
        <v>64.428487957816728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IFERROR(__xludf.DUMMYFUNCTION("IMPORTRANGE(""https://docs.google.com/spreadsheets/d/1-uDff_7J0KD5mKrp0Vvzr7lt3OU09vwQwhkpOPPYv2Y/edit?usp=sharing"",""งบพรบ!AC65"")"),465300)</f>
        <v>465300</v>
      </c>
      <c r="M64" s="427">
        <f ca="1">IFERROR(__xludf.DUMMYFUNCTION("IMPORTRANGE(""https://docs.google.com/spreadsheets/d/1-uDff_7J0KD5mKrp0Vvzr7lt3OU09vwQwhkpOPPYv2Y/edit?usp=sharing"",""งบพรบ!AH65"")"),350850)</f>
        <v>350850</v>
      </c>
      <c r="N64" s="427">
        <f ca="1">IFERROR(__xludf.DUMMYFUNCTION("IMPORTRANGE(""https://docs.google.com/spreadsheets/d/1-uDff_7J0KD5mKrp0Vvzr7lt3OU09vwQwhkpOPPYv2Y/edit?usp=sharing"",""งบพรบ!AJ65"")"),226047.35)</f>
        <v>226047.35</v>
      </c>
      <c r="O64" s="427">
        <f ca="1">IF(L64&gt;0,N64*100/L64,0)</f>
        <v>48.58099075865033</v>
      </c>
      <c r="P64" s="427">
        <f ca="1">IF(M64&gt;0,N64*100/M64,0)</f>
        <v>64.428487957816728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IFERROR(__xludf.DUMMYFUNCTION("IMPORTRANGE(""https://docs.google.com/spreadsheets/d/1-uDff_7J0KD5mKrp0Vvzr7lt3OU09vwQwhkpOPPYv2Y/edit?usp=sharing"",""งบพรบ!AF65"")"),0)</f>
        <v>0</v>
      </c>
      <c r="M67" s="644">
        <f ca="1">IFERROR(__xludf.DUMMYFUNCTION("IMPORTRANGE(""https://docs.google.com/spreadsheets/d/1-uDff_7J0KD5mKrp0Vvzr7lt3OU09vwQwhkpOPPYv2Y/edit?usp=sharing"",""งบพรบ!AI65"")"),0)</f>
        <v>0</v>
      </c>
      <c r="N67" s="644">
        <f ca="1">IFERROR(__xludf.DUMMYFUNCTION("IMPORTRANGE(""https://docs.google.com/spreadsheets/d/1-uDff_7J0KD5mKrp0Vvzr7lt3OU09vwQwhkpOPPYv2Y/edit?usp=sharing"",""งบพรบ!AK65"")"),0)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IFERROR(__xludf.DUMMYFUNCTION("IMPORTRANGE(""https://docs.google.com/spreadsheets/d/1-uDff_7J0KD5mKrp0Vvzr7lt3OU09vwQwhkpOPPYv2Y/edit?usp=sharing"",""งบพรบ!AM65"")"),0)</f>
        <v>0</v>
      </c>
      <c r="M77" s="427">
        <f ca="1">IFERROR(__xludf.DUMMYFUNCTION("IMPORTRANGE(""https://docs.google.com/spreadsheets/d/1-uDff_7J0KD5mKrp0Vvzr7lt3OU09vwQwhkpOPPYv2Y/edit?usp=sharing"",""งบพรบ!AR65"")"),0)</f>
        <v>0</v>
      </c>
      <c r="N77" s="427">
        <f ca="1">IFERROR(__xludf.DUMMYFUNCTION("IMPORTRANGE(""https://docs.google.com/spreadsheets/d/1-uDff_7J0KD5mKrp0Vvzr7lt3OU09vwQwhkpOPPYv2Y/edit?usp=sharing"",""งบพรบ!AT65"")"),0)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IFERROR(__xludf.DUMMYFUNCTION("IMPORTRANGE(""https://docs.google.com/spreadsheets/d/1-uDff_7J0KD5mKrp0Vvzr7lt3OU09vwQwhkpOPPYv2Y/edit?usp=sharing"",""งบพรบ!AP65"")"),0)</f>
        <v>0</v>
      </c>
      <c r="M80" s="427">
        <f ca="1">IFERROR(__xludf.DUMMYFUNCTION("IMPORTRANGE(""https://docs.google.com/spreadsheets/d/1-uDff_7J0KD5mKrp0Vvzr7lt3OU09vwQwhkpOPPYv2Y/edit?usp=sharing"",""งบพรบ!AS65"")"),0)</f>
        <v>0</v>
      </c>
      <c r="N80" s="427">
        <f ca="1">IFERROR(__xludf.DUMMYFUNCTION("IMPORTRANGE(""https://docs.google.com/spreadsheets/d/1-uDff_7J0KD5mKrp0Vvzr7lt3OU09vwQwhkpOPPYv2Y/edit?usp=sharing"",""งบพรบ!AU65"")"),0)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IFERROR(__xludf.DUMMYFUNCTION("IMPORTRANGE(""https://docs.google.com/spreadsheets/d/1eHaY18a8A9IcSdp1K8H6x8fbOy06t2VsZHhMHf-1x7Y/edit?usp=sharing"",""แผน!H65"")"),0)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IFERROR(__xludf.DUMMYFUNCTION("IMPORTRANGE(""https://docs.google.com/spreadsheets/d/1eHaY18a8A9IcSdp1K8H6x8fbOy06t2VsZHhMHf-1x7Y/edit?usp=sharing"",""แผน!I65"")"),0)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IFERROR(__xludf.DUMMYFUNCTION("IMPORTRANGE(""https://docs.google.com/spreadsheets/d/1eHaY18a8A9IcSdp1K8H6x8fbOy06t2VsZHhMHf-1x7Y/edit?usp=sharing"",""แผน!F65"")"),0)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IFERROR(__xludf.DUMMYFUNCTION("IMPORTRANGE(""https://docs.google.com/spreadsheets/d/1eHaY18a8A9IcSdp1K8H6x8fbOy06t2VsZHhMHf-1x7Y/edit?usp=sharing"",""แผน!G65"")"),0)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IFERROR(__xludf.DUMMYFUNCTION("IMPORTRANGE(""https://docs.google.com/spreadsheets/d/1eHaY18a8A9IcSdp1K8H6x8fbOy06t2VsZHhMHf-1x7Y/edit?usp=sharing"",""แผน!D65"")"),0)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IFERROR(__xludf.DUMMYFUNCTION("IMPORTRANGE(""https://docs.google.com/spreadsheets/d/1eHaY18a8A9IcSdp1K8H6x8fbOy06t2VsZHhMHf-1x7Y/edit?usp=sharing"",""แผน!E65"")"),0)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IFERROR(__xludf.DUMMYFUNCTION("IMPORTRANGE(""https://docs.google.com/spreadsheets/d/1eHaY18a8A9IcSdp1K8H6x8fbOy06t2VsZHhMHf-1x7Y/edit?usp=sharing"",""แผน!J65"")"),0)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IFERROR(__xludf.DUMMYFUNCTION("IMPORTRANGE(""https://docs.google.com/spreadsheets/d/1-uDff_7J0KD5mKrp0Vvzr7lt3OU09vwQwhkpOPPYv2Y/edit?usp=sharing"",""งบพรบ!AW65"")"),0)</f>
        <v>0</v>
      </c>
      <c r="M99" s="427">
        <f ca="1">IFERROR(__xludf.DUMMYFUNCTION("IMPORTRANGE(""https://docs.google.com/spreadsheets/d/1-uDff_7J0KD5mKrp0Vvzr7lt3OU09vwQwhkpOPPYv2Y/edit?usp=sharing"",""งบพรบ!BB65"")"),0)</f>
        <v>0</v>
      </c>
      <c r="N99" s="427">
        <f ca="1">IFERROR(__xludf.DUMMYFUNCTION("IMPORTRANGE(""https://docs.google.com/spreadsheets/d/1-uDff_7J0KD5mKrp0Vvzr7lt3OU09vwQwhkpOPPYv2Y/edit?usp=sharing"",""งบพรบ!BD65"")"),0)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IFERROR(__xludf.DUMMYFUNCTION("IMPORTRANGE(""https://docs.google.com/spreadsheets/d/1-uDff_7J0KD5mKrp0Vvzr7lt3OU09vwQwhkpOPPYv2Y/edit?usp=sharing"",""งบพรบ!AZ65"")"),0)</f>
        <v>0</v>
      </c>
      <c r="M102" s="427">
        <f ca="1">IFERROR(__xludf.DUMMYFUNCTION("IMPORTRANGE(""https://docs.google.com/spreadsheets/d/1-uDff_7J0KD5mKrp0Vvzr7lt3OU09vwQwhkpOPPYv2Y/edit?usp=sharing"",""งบพรบ!BC65"")"),0)</f>
        <v>0</v>
      </c>
      <c r="N102" s="427">
        <f ca="1">IFERROR(__xludf.DUMMYFUNCTION("IMPORTRANGE(""https://docs.google.com/spreadsheets/d/1-uDff_7J0KD5mKrp0Vvzr7lt3OU09vwQwhkpOPPYv2Y/edit?usp=sharing"",""งบพรบ!BE65"")"),0)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IFERROR(__xludf.DUMMYFUNCTION("IMPORTRANGE(""https://docs.google.com/spreadsheets/d/1eHaY18a8A9IcSdp1K8H6x8fbOy06t2VsZHhMHf-1x7Y/edit?usp=sharing"",""แผน!N65"")"),0)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IFERROR(__xludf.DUMMYFUNCTION("IMPORTRANGE(""https://docs.google.com/spreadsheets/d/1eHaY18a8A9IcSdp1K8H6x8fbOy06t2VsZHhMHf-1x7Y/edit?usp=sharing"",""แผน!O65"")"),0)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IFERROR(__xludf.DUMMYFUNCTION("IMPORTRANGE(""https://docs.google.com/spreadsheets/d/1eHaY18a8A9IcSdp1K8H6x8fbOy06t2VsZHhMHf-1x7Y/edit?usp=sharing"",""แผน!R65"")"),0)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IFERROR(__xludf.DUMMYFUNCTION("IMPORTRANGE(""https://docs.google.com/spreadsheets/d/1-uDff_7J0KD5mKrp0Vvzr7lt3OU09vwQwhkpOPPYv2Y/edit?usp=sharing"",""งบพรบ!BG65"")"),0)</f>
        <v>0</v>
      </c>
      <c r="M130" s="886">
        <f ca="1">IFERROR(__xludf.DUMMYFUNCTION("IMPORTRANGE(""https://docs.google.com/spreadsheets/d/1-uDff_7J0KD5mKrp0Vvzr7lt3OU09vwQwhkpOPPYv2Y/edit?usp=sharing"",""งบพรบ!BL65"")"),0)</f>
        <v>0</v>
      </c>
      <c r="N130" s="886">
        <f ca="1">IFERROR(__xludf.DUMMYFUNCTION("IMPORTRANGE(""https://docs.google.com/spreadsheets/d/1-uDff_7J0KD5mKrp0Vvzr7lt3OU09vwQwhkpOPPYv2Y/edit?usp=sharing"",""งบพรบ!BN65"")"),0)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IFERROR(__xludf.DUMMYFUNCTION("IMPORTRANGE(""https://docs.google.com/spreadsheets/d/1-uDff_7J0KD5mKrp0Vvzr7lt3OU09vwQwhkpOPPYv2Y/edit?usp=sharing"",""งบพรบ!BJ65"")"),0)</f>
        <v>0</v>
      </c>
      <c r="M133" s="886">
        <f ca="1">IFERROR(__xludf.DUMMYFUNCTION("IMPORTRANGE(""https://docs.google.com/spreadsheets/d/1-uDff_7J0KD5mKrp0Vvzr7lt3OU09vwQwhkpOPPYv2Y/edit?usp=sharing"",""งบพรบ!BM65"")"),0)</f>
        <v>0</v>
      </c>
      <c r="N133" s="886">
        <f ca="1">IFERROR(__xludf.DUMMYFUNCTION("IMPORTRANGE(""https://docs.google.com/spreadsheets/d/1-uDff_7J0KD5mKrp0Vvzr7lt3OU09vwQwhkpOPPYv2Y/edit?usp=sharing"",""งบพรบ!BO65"")"),0)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1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10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1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115300</v>
      </c>
      <c r="M139" s="737">
        <f ca="1">M140+M141</f>
        <v>89600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115300</v>
      </c>
      <c r="M141" s="427">
        <f ca="1">M144+M147</f>
        <v>89600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115300</v>
      </c>
      <c r="M142" s="427">
        <f ca="1">M143+M144</f>
        <v>89600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IFERROR(__xludf.DUMMYFUNCTION("IMPORTRANGE(""https://docs.google.com/spreadsheets/d/1-uDff_7J0KD5mKrp0Vvzr7lt3OU09vwQwhkpOPPYv2Y/edit?usp=sharing"",""งบพรบ!BQ65"")"),115300)</f>
        <v>115300</v>
      </c>
      <c r="M144" s="427">
        <f ca="1">IFERROR(__xludf.DUMMYFUNCTION("IMPORTRANGE(""https://docs.google.com/spreadsheets/d/1-uDff_7J0KD5mKrp0Vvzr7lt3OU09vwQwhkpOPPYv2Y/edit?usp=sharing"",""งบพรบ!BV65"")"),89600)</f>
        <v>89600</v>
      </c>
      <c r="N144" s="427">
        <f ca="1">IFERROR(__xludf.DUMMYFUNCTION("IMPORTRANGE(""https://docs.google.com/spreadsheets/d/1-uDff_7J0KD5mKrp0Vvzr7lt3OU09vwQwhkpOPPYv2Y/edit?usp=sharing"",""งบพรบ!BX65"")"),0)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IFERROR(__xludf.DUMMYFUNCTION("IMPORTRANGE(""https://docs.google.com/spreadsheets/d/1-uDff_7J0KD5mKrp0Vvzr7lt3OU09vwQwhkpOPPYv2Y/edit?usp=sharing"",""งบพรบ!BT65"")"),0)</f>
        <v>0</v>
      </c>
      <c r="M147" s="427">
        <f ca="1">IFERROR(__xludf.DUMMYFUNCTION("IMPORTRANGE(""https://docs.google.com/spreadsheets/d/1-uDff_7J0KD5mKrp0Vvzr7lt3OU09vwQwhkpOPPYv2Y/edit?usp=sharing"",""งบพรบ!BW65"")"),0)</f>
        <v>0</v>
      </c>
      <c r="N147" s="427">
        <f ca="1">IFERROR(__xludf.DUMMYFUNCTION("IMPORTRANGE(""https://docs.google.com/spreadsheets/d/1-uDff_7J0KD5mKrp0Vvzr7lt3OU09vwQwhkpOPPYv2Y/edit?usp=sharing"",""งบพรบ!BY65"")"),0)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IFERROR(__xludf.DUMMYFUNCTION("IMPORTRANGE(""https://docs.google.com/spreadsheets/d/1eHaY18a8A9IcSdp1K8H6x8fbOy06t2VsZHhMHf-1x7Y/edit?usp=sharing"",""แผน!U65"")"),10)</f>
        <v>10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IFERROR(__xludf.DUMMYFUNCTION("IMPORTRANGE(""https://docs.google.com/spreadsheets/d/1eHaY18a8A9IcSdp1K8H6x8fbOy06t2VsZHhMHf-1x7Y/edit?usp=sharing"",""แผน!V65"")"),1)</f>
        <v>1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IFERROR(__xludf.DUMMYFUNCTION("IMPORTRANGE(""https://docs.google.com/spreadsheets/d/1eHaY18a8A9IcSdp1K8H6x8fbOy06t2VsZHhMHf-1x7Y/edit?usp=sharing"",""แผน!W65"")"),10)</f>
        <v>10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IFERROR(__xludf.DUMMYFUNCTION("IMPORTRANGE(""https://docs.google.com/spreadsheets/d/1eHaY18a8A9IcSdp1K8H6x8fbOy06t2VsZHhMHf-1x7Y/edit?usp=sharing"",""แผน!X65"")"),1)</f>
        <v>1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IFERROR(__xludf.DUMMYFUNCTION("IMPORTRANGE(""https://docs.google.com/spreadsheets/d/1eHaY18a8A9IcSdp1K8H6x8fbOy06t2VsZHhMHf-1x7Y/edit?usp=sharing"",""แผน!Y65"")"),1)</f>
        <v>1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IFERROR(__xludf.DUMMYFUNCTION("IMPORTRANGE(""https://docs.google.com/spreadsheets/d/1-uDff_7J0KD5mKrp0Vvzr7lt3OU09vwQwhkpOPPYv2Y/edit?usp=sharing"",""งบพรบ!CA65"")"),3000)</f>
        <v>3000</v>
      </c>
      <c r="M162" s="427">
        <f ca="1">IFERROR(__xludf.DUMMYFUNCTION("IMPORTRANGE(""https://docs.google.com/spreadsheets/d/1-uDff_7J0KD5mKrp0Vvzr7lt3OU09vwQwhkpOPPYv2Y/edit?usp=sharing"",""งบพรบ!CF65"")"),0)</f>
        <v>0</v>
      </c>
      <c r="N162" s="427">
        <f ca="1">IFERROR(__xludf.DUMMYFUNCTION("IMPORTRANGE(""https://docs.google.com/spreadsheets/d/1-uDff_7J0KD5mKrp0Vvzr7lt3OU09vwQwhkpOPPYv2Y/edit?usp=sharing"",""งบพรบ!CH65"")"),0)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IFERROR(__xludf.DUMMYFUNCTION("IMPORTRANGE(""https://docs.google.com/spreadsheets/d/1-uDff_7J0KD5mKrp0Vvzr7lt3OU09vwQwhkpOPPYv2Y/edit?usp=sharing"",""งบพรบ!CD65"")"),0)</f>
        <v>0</v>
      </c>
      <c r="M165" s="427">
        <f ca="1">IFERROR(__xludf.DUMMYFUNCTION("IMPORTRANGE(""https://docs.google.com/spreadsheets/d/1-uDff_7J0KD5mKrp0Vvzr7lt3OU09vwQwhkpOPPYv2Y/edit?usp=sharing"",""งบพรบ!CG65"")"),0)</f>
        <v>0</v>
      </c>
      <c r="N165" s="427">
        <f ca="1">IFERROR(__xludf.DUMMYFUNCTION("IMPORTRANGE(""https://docs.google.com/spreadsheets/d/1-uDff_7J0KD5mKrp0Vvzr7lt3OU09vwQwhkpOPPYv2Y/edit?usp=sharing"",""งบพรบ!CI65"")"),0)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IFERROR(__xludf.DUMMYFUNCTION("IMPORTRANGE(""https://docs.google.com/spreadsheets/d/1eHaY18a8A9IcSdp1K8H6x8fbOy06t2VsZHhMHf-1x7Y/edit?usp=sharing"",""แผน!Z65"")"),10)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IFERROR(__xludf.DUMMYFUNCTION("IMPORTRANGE(""https://docs.google.com/spreadsheets/d/1-uDff_7J0KD5mKrp0Vvzr7lt3OU09vwQwhkpOPPYv2Y/edit?usp=sharing"",""งบพรบ!CK65"")"),19590)</f>
        <v>19590</v>
      </c>
      <c r="M178" s="427">
        <f ca="1">IFERROR(__xludf.DUMMYFUNCTION("IMPORTRANGE(""https://docs.google.com/spreadsheets/d/1-uDff_7J0KD5mKrp0Vvzr7lt3OU09vwQwhkpOPPYv2Y/edit?usp=sharing"",""งบพรบ!CP65"")"),19590)</f>
        <v>19590</v>
      </c>
      <c r="N178" s="427">
        <f ca="1">IFERROR(__xludf.DUMMYFUNCTION("IMPORTRANGE(""https://docs.google.com/spreadsheets/d/1-uDff_7J0KD5mKrp0Vvzr7lt3OU09vwQwhkpOPPYv2Y/edit?usp=sharing"",""งบพรบ!CR65"")"),0)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IFERROR(__xludf.DUMMYFUNCTION("IMPORTRANGE(""https://docs.google.com/spreadsheets/d/1-uDff_7J0KD5mKrp0Vvzr7lt3OU09vwQwhkpOPPYv2Y/edit?usp=sharing"",""งบพรบ!CN65"")"),0)</f>
        <v>0</v>
      </c>
      <c r="M181" s="427">
        <f ca="1">IFERROR(__xludf.DUMMYFUNCTION("IMPORTRANGE(""https://docs.google.com/spreadsheets/d/1-uDff_7J0KD5mKrp0Vvzr7lt3OU09vwQwhkpOPPYv2Y/edit?usp=sharing"",""งบพรบ!CQ65"")"),0)</f>
        <v>0</v>
      </c>
      <c r="N181" s="427">
        <f ca="1">IFERROR(__xludf.DUMMYFUNCTION("IMPORTRANGE(""https://docs.google.com/spreadsheets/d/1-uDff_7J0KD5mKrp0Vvzr7lt3OU09vwQwhkpOPPYv2Y/edit?usp=sharing"",""งบพรบ!CS65"")"),0)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IFERROR(__xludf.DUMMYFUNCTION("IMPORTRANGE(""https://docs.google.com/spreadsheets/d/1eHaY18a8A9IcSdp1K8H6x8fbOy06t2VsZHhMHf-1x7Y/edit?usp=sharing"",""แผน!AA65"")"),7)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38500</v>
      </c>
      <c r="M186" s="737">
        <f ca="1">M187+M188</f>
        <v>22500</v>
      </c>
      <c r="N186" s="737">
        <f ca="1">N187+N188</f>
        <v>0</v>
      </c>
      <c r="O186" s="737">
        <f ca="1">IF(L186&gt;0,N186*100/L186,0)</f>
        <v>0</v>
      </c>
      <c r="P186" s="737">
        <f ca="1">IF(M186&gt;0,N186*100/M186,0)</f>
        <v>0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38500</v>
      </c>
      <c r="M188" s="427">
        <f ca="1">M191+M194</f>
        <v>22500</v>
      </c>
      <c r="N188" s="427">
        <f ca="1">N191+N194</f>
        <v>0</v>
      </c>
      <c r="O188" s="427">
        <f ca="1">IF(L188&gt;0,N188*100/L188,0)</f>
        <v>0</v>
      </c>
      <c r="P188" s="427">
        <f ca="1">IF(M188&gt;0,N188*100/M188,0)</f>
        <v>0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38500</v>
      </c>
      <c r="M189" s="427">
        <f ca="1">M190+M191</f>
        <v>22500</v>
      </c>
      <c r="N189" s="427">
        <f ca="1">N190+N191</f>
        <v>0</v>
      </c>
      <c r="O189" s="427">
        <f ca="1">IF(L189&gt;0,N189*100/L189,0)</f>
        <v>0</v>
      </c>
      <c r="P189" s="427">
        <f ca="1">IF(M189&gt;0,N189*100/M189,0)</f>
        <v>0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IFERROR(__xludf.DUMMYFUNCTION("IMPORTRANGE(""https://docs.google.com/spreadsheets/d/1-uDff_7J0KD5mKrp0Vvzr7lt3OU09vwQwhkpOPPYv2Y/edit?usp=sharing"",""งบพรบ!CU65"")"),38500)</f>
        <v>38500</v>
      </c>
      <c r="M191" s="427">
        <f ca="1">IFERROR(__xludf.DUMMYFUNCTION("IMPORTRANGE(""https://docs.google.com/spreadsheets/d/1-uDff_7J0KD5mKrp0Vvzr7lt3OU09vwQwhkpOPPYv2Y/edit?usp=sharing"",""งบพรบ!CZ65"")"),22500)</f>
        <v>22500</v>
      </c>
      <c r="N191" s="427">
        <f ca="1">IFERROR(__xludf.DUMMYFUNCTION("IMPORTRANGE(""https://docs.google.com/spreadsheets/d/1-uDff_7J0KD5mKrp0Vvzr7lt3OU09vwQwhkpOPPYv2Y/edit?usp=sharing"",""งบพรบ!DB65"")"),0)</f>
        <v>0</v>
      </c>
      <c r="O191" s="427">
        <f ca="1">IF(L191&gt;0,N191*100/L191,0)</f>
        <v>0</v>
      </c>
      <c r="P191" s="427">
        <f ca="1">IF(M191&gt;0,N191*100/M191,0)</f>
        <v>0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IFERROR(__xludf.DUMMYFUNCTION("IMPORTRANGE(""https://docs.google.com/spreadsheets/d/1-uDff_7J0KD5mKrp0Vvzr7lt3OU09vwQwhkpOPPYv2Y/edit?usp=sharing"",""งบพรบ!CX65"")"),0)</f>
        <v>0</v>
      </c>
      <c r="M194" s="427">
        <f ca="1">IFERROR(__xludf.DUMMYFUNCTION("IMPORTRANGE(""https://docs.google.com/spreadsheets/d/1-uDff_7J0KD5mKrp0Vvzr7lt3OU09vwQwhkpOPPYv2Y/edit?usp=sharing"",""งบพรบ!DA65"")"),0)</f>
        <v>0</v>
      </c>
      <c r="N194" s="427">
        <f ca="1">IFERROR(__xludf.DUMMYFUNCTION("IMPORTRANGE(""https://docs.google.com/spreadsheets/d/1-uDff_7J0KD5mKrp0Vvzr7lt3OU09vwQwhkpOPPYv2Y/edit?usp=sharing"",""งบพรบ!DC65"")"),0)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IFERROR(__xludf.DUMMYFUNCTION("IMPORTRANGE(""https://docs.google.com/spreadsheets/d/1eHaY18a8A9IcSdp1K8H6x8fbOy06t2VsZHhMHf-1x7Y/edit?usp=sharing"",""แผน!AB65"")"),6000)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IFERROR(__xludf.DUMMYFUNCTION("IMPORTRANGE(""https://docs.google.com/spreadsheets/d/1eHaY18a8A9IcSdp1K8H6x8fbOy06t2VsZHhMHf-1x7Y/edit?usp=sharing"",""แผน!AE65"")"),4)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26000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IFERROR(__xludf.DUMMYFUNCTION("IMPORTRANGE(""https://docs.google.com/spreadsheets/d/1eHaY18a8A9IcSdp1K8H6x8fbOy06t2VsZHhMHf-1x7Y/edit?usp=sharing"",""แผน!AG65"")"),2000)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IFERROR(__xludf.DUMMYFUNCTION("IMPORTRANGE(""https://docs.google.com/spreadsheets/d/1eHaY18a8A9IcSdp1K8H6x8fbOy06t2VsZHhMHf-1x7Y/edit?usp=sharing"",""แผน!AH65"")"),0)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IFERROR(__xludf.DUMMYFUNCTION("IMPORTRANGE(""https://docs.google.com/spreadsheets/d/1eHaY18a8A9IcSdp1K8H6x8fbOy06t2VsZHhMHf-1x7Y/edit?usp=sharing"",""แผน!AI65"")"),16000)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IFERROR(__xludf.DUMMYFUNCTION("IMPORTRANGE(""https://docs.google.com/spreadsheets/d/1eHaY18a8A9IcSdp1K8H6x8fbOy06t2VsZHhMHf-1x7Y/edit?usp=sharing"",""แผน!AJ65"")"),8000)</f>
        <v>8000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IFERROR(__xludf.DUMMYFUNCTION("IMPORTRANGE(""https://docs.google.com/spreadsheets/d/1eHaY18a8A9IcSdp1K8H6x8fbOy06t2VsZHhMHf-1x7Y/edit?usp=sharing"",""แผน!AK65"")"),2)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IFERROR(__xludf.DUMMYFUNCTION("IMPORTRANGE(""https://docs.google.com/spreadsheets/d/1eHaY18a8A9IcSdp1K8H6x8fbOy06t2VsZHhMHf-1x7Y/edit?usp=sharing"",""แผน!JX65"")"),2)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IFERROR(__xludf.DUMMYFUNCTION("IMPORTRANGE(""https://docs.google.com/spreadsheets/d/1eHaY18a8A9IcSdp1K8H6x8fbOy06t2VsZHhMHf-1x7Y/edit?usp=sharing"",""แผน!JY65"")"),0)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IFERROR(__xludf.DUMMYFUNCTION("IMPORTRANGE(""https://docs.google.com/spreadsheets/d/1eHaY18a8A9IcSdp1K8H6x8fbOy06t2VsZHhMHf-1x7Y/edit?usp=sharing"",""แผน!AM65"")"),0)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IFERROR(__xludf.DUMMYFUNCTION("IMPORTRANGE(""https://docs.google.com/spreadsheets/d/1eHaY18a8A9IcSdp1K8H6x8fbOy06t2VsZHhMHf-1x7Y/edit?usp=sharing"",""แผน!AN65"")"),0)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IFERROR(__xludf.DUMMYFUNCTION("IMPORTRANGE(""https://docs.google.com/spreadsheets/d/1eHaY18a8A9IcSdp1K8H6x8fbOy06t2VsZHhMHf-1x7Y/edit?usp=sharing"",""แผน!AO65"")"),0)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IFERROR(__xludf.DUMMYFUNCTION("IMPORTRANGE(""https://docs.google.com/spreadsheets/d/1eHaY18a8A9IcSdp1K8H6x8fbOy06t2VsZHhMHf-1x7Y/edit?usp=sharing"",""แผน!AP65"")"),0)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IFERROR(__xludf.DUMMYFUNCTION("IMPORTRANGE(""https://docs.google.com/spreadsheets/d/1eHaY18a8A9IcSdp1K8H6x8fbOy06t2VsZHhMHf-1x7Y/edit?usp=sharing"",""แผน!AP65"")"),0)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30000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6500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IFERROR(__xludf.DUMMYFUNCTION("IMPORTRANGE(""https://docs.google.com/spreadsheets/d/1eHaY18a8A9IcSdp1K8H6x8fbOy06t2VsZHhMHf-1x7Y/edit?usp=sharing"",""แผน!AR65"")"),5000)</f>
        <v>5000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IFERROR(__xludf.DUMMYFUNCTION("IMPORTRANGE(""https://docs.google.com/spreadsheets/d/1eHaY18a8A9IcSdp1K8H6x8fbOy06t2VsZHhMHf-1x7Y/edit?usp=sharing"",""แผน!AS65"")"),1500)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IFERROR(__xludf.DUMMYFUNCTION("IMPORTRANGE(""https://docs.google.com/spreadsheets/d/1eHaY18a8A9IcSdp1K8H6x8fbOy06t2VsZHhMHf-1x7Y/edit?usp=sharing"",""แผน!AT65"")"),0)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IFERROR(__xludf.DUMMYFUNCTION("IMPORTRANGE(""https://docs.google.com/spreadsheets/d/1eHaY18a8A9IcSdp1K8H6x8fbOy06t2VsZHhMHf-1x7Y/edit?usp=sharing"",""แผน!AV65"")"),30000)</f>
        <v>30000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IFERROR(__xludf.DUMMYFUNCTION("IMPORTRANGE(""https://docs.google.com/spreadsheets/d/1eHaY18a8A9IcSdp1K8H6x8fbOy06t2VsZHhMHf-1x7Y/edit?usp=sharing"",""แผน!AV65"")"),30000)</f>
        <v>30000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IFERROR(__xludf.DUMMYFUNCTION("IMPORTRANGE(""https://docs.google.com/spreadsheets/d/1eHaY18a8A9IcSdp1K8H6x8fbOy06t2VsZHhMHf-1x7Y/edit?usp=sharing"",""แผน!AU65"")"),0)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IFERROR(__xludf.DUMMYFUNCTION("IMPORTRANGE(""https://docs.google.com/spreadsheets/d/1eHaY18a8A9IcSdp1K8H6x8fbOy06t2VsZHhMHf-1x7Y/edit?usp=sharing"",""แผน!AX65"")"),0)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IFERROR(__xludf.DUMMYFUNCTION("IMPORTRANGE(""https://docs.google.com/spreadsheets/d/1eHaY18a8A9IcSdp1K8H6x8fbOy06t2VsZHhMHf-1x7Y/edit?usp=sharing"",""แผน!AY65"")"),0)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IFERROR(__xludf.DUMMYFUNCTION("IMPORTRANGE(""https://docs.google.com/spreadsheets/d/1eHaY18a8A9IcSdp1K8H6x8fbOy06t2VsZHhMHf-1x7Y/edit?usp=sharing"",""แผน!AZ65"")"),0)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IFERROR(__xludf.DUMMYFUNCTION("IMPORTRANGE(""https://docs.google.com/spreadsheets/d/1eHaY18a8A9IcSdp1K8H6x8fbOy06t2VsZHhMHf-1x7Y/edit?usp=sharing"",""แผน!BA65"")"),0)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IFERROR(__xludf.DUMMYFUNCTION("IMPORTRANGE(""https://docs.google.com/spreadsheets/d/1eHaY18a8A9IcSdp1K8H6x8fbOy06t2VsZHhMHf-1x7Y/edit?usp=sharing"",""แผน!BG65"")"),0)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IFERROR(__xludf.DUMMYFUNCTION("IMPORTRANGE(""https://docs.google.com/spreadsheets/d/1eHaY18a8A9IcSdp1K8H6x8fbOy06t2VsZHhMHf-1x7Y/edit?usp=sharing"",""แผน!BB65"")"),0)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IFERROR(__xludf.DUMMYFUNCTION("IMPORTRANGE(""https://docs.google.com/spreadsheets/d/1eHaY18a8A9IcSdp1K8H6x8fbOy06t2VsZHhMHf-1x7Y/edit?usp=sharing"",""แผน!BC65"")"),0)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IFERROR(__xludf.DUMMYFUNCTION("IMPORTRANGE(""https://docs.google.com/spreadsheets/d/1eHaY18a8A9IcSdp1K8H6x8fbOy06t2VsZHhMHf-1x7Y/edit?usp=sharing"",""แผน!BD65"")"),0)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IFERROR(__xludf.DUMMYFUNCTION("IMPORTRANGE(""https://docs.google.com/spreadsheets/d/1eHaY18a8A9IcSdp1K8H6x8fbOy06t2VsZHhMHf-1x7Y/edit?usp=sharing"",""แผน!BE65"")"),0)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IFERROR(__xludf.DUMMYFUNCTION("IMPORTRANGE(""https://docs.google.com/spreadsheets/d/1eHaY18a8A9IcSdp1K8H6x8fbOy06t2VsZHhMHf-1x7Y/edit?usp=sharing"",""แผน!BH65"")"),0)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IFERROR(__xludf.DUMMYFUNCTION("IMPORTRANGE(""https://docs.google.com/spreadsheets/d/1-uDff_7J0KD5mKrp0Vvzr7lt3OU09vwQwhkpOPPYv2Y/edit?usp=sharing"",""งบพรบ!DE65"")"),0)</f>
        <v>0</v>
      </c>
      <c r="M271" s="522">
        <f ca="1">IFERROR(__xludf.DUMMYFUNCTION("IMPORTRANGE(""https://docs.google.com/spreadsheets/d/1-uDff_7J0KD5mKrp0Vvzr7lt3OU09vwQwhkpOPPYv2Y/edit?usp=sharing"",""งบพรบ!DJ65"")"),0)</f>
        <v>0</v>
      </c>
      <c r="N271" s="522">
        <f ca="1">IFERROR(__xludf.DUMMYFUNCTION("IMPORTRANGE(""https://docs.google.com/spreadsheets/d/1-uDff_7J0KD5mKrp0Vvzr7lt3OU09vwQwhkpOPPYv2Y/edit?usp=sharing"",""งบพรบ!DL65"")"),0)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IFERROR(__xludf.DUMMYFUNCTION("IMPORTRANGE(""https://docs.google.com/spreadsheets/d/1-uDff_7J0KD5mKrp0Vvzr7lt3OU09vwQwhkpOPPYv2Y/edit?usp=sharing"",""งบพรบ!DH65"")"),0)</f>
        <v>0</v>
      </c>
      <c r="M274" s="522">
        <f ca="1">IFERROR(__xludf.DUMMYFUNCTION("IMPORTRANGE(""https://docs.google.com/spreadsheets/d/1-uDff_7J0KD5mKrp0Vvzr7lt3OU09vwQwhkpOPPYv2Y/edit?usp=sharing"",""งบพรบ!DK65"")"),0)</f>
        <v>0</v>
      </c>
      <c r="N274" s="522">
        <f ca="1">IFERROR(__xludf.DUMMYFUNCTION("IMPORTRANGE(""https://docs.google.com/spreadsheets/d/1-uDff_7J0KD5mKrp0Vvzr7lt3OU09vwQwhkpOPPYv2Y/edit?usp=sharing"",""งบพรบ!DM65"")"),0)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IFERROR(__xludf.DUMMYFUNCTION("IMPORTRANGE(""https://docs.google.com/spreadsheets/d/1-uDff_7J0KD5mKrp0Vvzr7lt3OU09vwQwhkpOPPYv2Y/edit?usp=sharing"",""งบพรบ!DO65"")"),0)</f>
        <v>0</v>
      </c>
      <c r="M287" s="427">
        <f ca="1">IFERROR(__xludf.DUMMYFUNCTION("IMPORTRANGE(""https://docs.google.com/spreadsheets/d/1-uDff_7J0KD5mKrp0Vvzr7lt3OU09vwQwhkpOPPYv2Y/edit?usp=sharing"",""งบพรบ!DT65"")"),0)</f>
        <v>0</v>
      </c>
      <c r="N287" s="427">
        <f ca="1">IFERROR(__xludf.DUMMYFUNCTION("IMPORTRANGE(""https://docs.google.com/spreadsheets/d/1-uDff_7J0KD5mKrp0Vvzr7lt3OU09vwQwhkpOPPYv2Y/edit?usp=sharing"",""งบพรบ!DV65"")"),0)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IFERROR(__xludf.DUMMYFUNCTION("IMPORTRANGE(""https://docs.google.com/spreadsheets/d/1-uDff_7J0KD5mKrp0Vvzr7lt3OU09vwQwhkpOPPYv2Y/edit?usp=sharing"",""งบพรบ!DR65"")"),0)</f>
        <v>0</v>
      </c>
      <c r="M290" s="427">
        <f ca="1">IFERROR(__xludf.DUMMYFUNCTION("IMPORTRANGE(""https://docs.google.com/spreadsheets/d/1-uDff_7J0KD5mKrp0Vvzr7lt3OU09vwQwhkpOPPYv2Y/edit?usp=sharing"",""งบพรบ!DU65"")"),0)</f>
        <v>0</v>
      </c>
      <c r="N290" s="427">
        <f ca="1">IFERROR(__xludf.DUMMYFUNCTION("IMPORTRANGE(""https://docs.google.com/spreadsheets/d/1-uDff_7J0KD5mKrp0Vvzr7lt3OU09vwQwhkpOPPYv2Y/edit?usp=sharing"",""งบพรบ!DW65"")"),0)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IFERROR(__xludf.DUMMYFUNCTION("IMPORTRANGE(""https://docs.google.com/spreadsheets/d/1eHaY18a8A9IcSdp1K8H6x8fbOy06t2VsZHhMHf-1x7Y/edit?usp=sharing"",""แผน!EE65"")"),0)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IFERROR(__xludf.DUMMYFUNCTION("IMPORTRANGE(""https://docs.google.com/spreadsheets/d/1eHaY18a8A9IcSdp1K8H6x8fbOy06t2VsZHhMHf-1x7Y/edit?usp=sharing"",""แผน!ED65"")"),0)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IFERROR(__xludf.DUMMYFUNCTION("IMPORTRANGE(""https://docs.google.com/spreadsheets/d/1eHaY18a8A9IcSdp1K8H6x8fbOy06t2VsZHhMHf-1x7Y/edit?usp=sharing"",""แผน!ED65"")"),0)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IFERROR(__xludf.DUMMYFUNCTION("IMPORTRANGE(""https://docs.google.com/spreadsheets/d/1eHaY18a8A9IcSdp1K8H6x8fbOy06t2VsZHhMHf-1x7Y/edit?usp=sharing"",""แผน!ED65"")"),0)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IFERROR(__xludf.DUMMYFUNCTION("IMPORTRANGE(""https://docs.google.com/spreadsheets/d/1-uDff_7J0KD5mKrp0Vvzr7lt3OU09vwQwhkpOPPYv2Y/edit?usp=sharing"",""งบพรบ!DY65"")"),0)</f>
        <v>0</v>
      </c>
      <c r="M308" s="427">
        <f ca="1">IFERROR(__xludf.DUMMYFUNCTION("IMPORTRANGE(""https://docs.google.com/spreadsheets/d/1-uDff_7J0KD5mKrp0Vvzr7lt3OU09vwQwhkpOPPYv2Y/edit?usp=sharing"",""งบพรบ!ED65"")"),0)</f>
        <v>0</v>
      </c>
      <c r="N308" s="427">
        <f ca="1">IFERROR(__xludf.DUMMYFUNCTION("IMPORTRANGE(""https://docs.google.com/spreadsheets/d/1-uDff_7J0KD5mKrp0Vvzr7lt3OU09vwQwhkpOPPYv2Y/edit?usp=sharing"",""งบพรบ!EF65"")"),0)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IFERROR(__xludf.DUMMYFUNCTION("IMPORTRANGE(""https://docs.google.com/spreadsheets/d/1-uDff_7J0KD5mKrp0Vvzr7lt3OU09vwQwhkpOPPYv2Y/edit?usp=sharing"",""งบพรบ!EB65"")"),0)</f>
        <v>0</v>
      </c>
      <c r="M311" s="427">
        <f ca="1">IFERROR(__xludf.DUMMYFUNCTION("IMPORTRANGE(""https://docs.google.com/spreadsheets/d/1-uDff_7J0KD5mKrp0Vvzr7lt3OU09vwQwhkpOPPYv2Y/edit?usp=sharing"",""งบพรบ!EE65"")"),0)</f>
        <v>0</v>
      </c>
      <c r="N311" s="427">
        <f ca="1">IFERROR(__xludf.DUMMYFUNCTION("IMPORTRANGE(""https://docs.google.com/spreadsheets/d/1-uDff_7J0KD5mKrp0Vvzr7lt3OU09vwQwhkpOPPYv2Y/edit?usp=sharing"",""งบพรบ!EG65"")"),0)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IFERROR(__xludf.DUMMYFUNCTION("IMPORTRANGE(""https://docs.google.com/spreadsheets/d/1eHaY18a8A9IcSdp1K8H6x8fbOy06t2VsZHhMHf-1x7Y/edit?usp=sharing"",""แผน!EF65"")"),0)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IFERROR(__xludf.DUMMYFUNCTION("IMPORTRANGE(""https://docs.google.com/spreadsheets/d/1eHaY18a8A9IcSdp1K8H6x8fbOy06t2VsZHhMHf-1x7Y/edit?usp=sharing"",""แผน!EG65"")"),0)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IFERROR(__xludf.DUMMYFUNCTION("IMPORTRANGE(""https://docs.google.com/spreadsheets/d/1eHaY18a8A9IcSdp1K8H6x8fbOy06t2VsZHhMHf-1x7Y/edit?usp=sharing"",""แผน!EH65"")"),0)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IFERROR(__xludf.DUMMYFUNCTION("IMPORTRANGE(""https://docs.google.com/spreadsheets/d/1eHaY18a8A9IcSdp1K8H6x8fbOy06t2VsZHhMHf-1x7Y/edit?usp=sharing"",""แผน!EI65"")"),0)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IFERROR(__xludf.DUMMYFUNCTION("IMPORTRANGE(""https://docs.google.com/spreadsheets/d/1-uDff_7J0KD5mKrp0Vvzr7lt3OU09vwQwhkpOPPYv2Y/edit?usp=sharing"",""งบพรบ!EI65"")"),0)</f>
        <v>0</v>
      </c>
      <c r="M325" s="427">
        <f ca="1">IFERROR(__xludf.DUMMYFUNCTION("IMPORTRANGE(""https://docs.google.com/spreadsheets/d/1-uDff_7J0KD5mKrp0Vvzr7lt3OU09vwQwhkpOPPYv2Y/edit?usp=sharing"",""งบพรบ!EN65"")"),0)</f>
        <v>0</v>
      </c>
      <c r="N325" s="427">
        <f ca="1">IFERROR(__xludf.DUMMYFUNCTION("IMPORTRANGE(""https://docs.google.com/spreadsheets/d/1-uDff_7J0KD5mKrp0Vvzr7lt3OU09vwQwhkpOPPYv2Y/edit?usp=sharing"",""งบพรบ!EP65"")"),0)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IFERROR(__xludf.DUMMYFUNCTION("IMPORTRANGE(""https://docs.google.com/spreadsheets/d/1-uDff_7J0KD5mKrp0Vvzr7lt3OU09vwQwhkpOPPYv2Y/edit?usp=sharing"",""งบพรบ!EL65"")"),0)</f>
        <v>0</v>
      </c>
      <c r="M328" s="427">
        <f ca="1">IFERROR(__xludf.DUMMYFUNCTION("IMPORTRANGE(""https://docs.google.com/spreadsheets/d/1-uDff_7J0KD5mKrp0Vvzr7lt3OU09vwQwhkpOPPYv2Y/edit?usp=sharing"",""งบพรบ!EO65"")"),0)</f>
        <v>0</v>
      </c>
      <c r="N328" s="427">
        <f ca="1">IFERROR(__xludf.DUMMYFUNCTION("IMPORTRANGE(""https://docs.google.com/spreadsheets/d/1-uDff_7J0KD5mKrp0Vvzr7lt3OU09vwQwhkpOPPYv2Y/edit?usp=sharing"",""งบพรบ!EQ65"")"),0)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IFERROR(__xludf.DUMMYFUNCTION("IMPORTRANGE(""https://docs.google.com/spreadsheets/d/1eHaY18a8A9IcSdp1K8H6x8fbOy06t2VsZHhMHf-1x7Y/edit?usp=sharing"",""แผน!EJ65"")"),0)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460</v>
      </c>
      <c r="J332" s="404">
        <f ca="1">J344+J347+J348+J349+J353</f>
        <v>671</v>
      </c>
      <c r="K332" s="405">
        <f ca="1">IF(I332&gt;0,J332*100/I332,0)</f>
        <v>145.86956521739131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220600</v>
      </c>
      <c r="M333" s="737">
        <f ca="1">M334+M335</f>
        <v>167350</v>
      </c>
      <c r="N333" s="737">
        <f ca="1">N334+N335</f>
        <v>58600</v>
      </c>
      <c r="O333" s="737">
        <f ca="1">IF(L333&gt;0,N333*100/L333,0)</f>
        <v>26.563916591115142</v>
      </c>
      <c r="P333" s="737">
        <f ca="1">IF(M333&gt;0,N333*100/M333,0)</f>
        <v>35.016432626232444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220600</v>
      </c>
      <c r="M335" s="427">
        <f ca="1">M338+M341</f>
        <v>167350</v>
      </c>
      <c r="N335" s="427">
        <f ca="1">N338+N341</f>
        <v>58600</v>
      </c>
      <c r="O335" s="427">
        <f ca="1">IF(L335&gt;0,N335*100/L335,0)</f>
        <v>26.563916591115142</v>
      </c>
      <c r="P335" s="427">
        <f ca="1">IF(M335&gt;0,N335*100/M335,0)</f>
        <v>35.016432626232444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220600</v>
      </c>
      <c r="M336" s="427">
        <f ca="1">M337+M338</f>
        <v>167350</v>
      </c>
      <c r="N336" s="427">
        <f ca="1">N337+N338</f>
        <v>58600</v>
      </c>
      <c r="O336" s="427">
        <f ca="1">IF(L336&gt;0,N336*100/L336,0)</f>
        <v>26.563916591115142</v>
      </c>
      <c r="P336" s="427">
        <f ca="1">IF(M336&gt;0,N336*100/M336,0)</f>
        <v>35.016432626232444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IFERROR(__xludf.DUMMYFUNCTION("IMPORTRANGE(""https://docs.google.com/spreadsheets/d/1-uDff_7J0KD5mKrp0Vvzr7lt3OU09vwQwhkpOPPYv2Y/edit?usp=sharing"",""งบพรบ!ES65"")"),220600)</f>
        <v>220600</v>
      </c>
      <c r="M338" s="427">
        <f ca="1">IFERROR(__xludf.DUMMYFUNCTION("IMPORTRANGE(""https://docs.google.com/spreadsheets/d/1-uDff_7J0KD5mKrp0Vvzr7lt3OU09vwQwhkpOPPYv2Y/edit?usp=sharing"",""งบพรบ!EX65"")"),167350)</f>
        <v>167350</v>
      </c>
      <c r="N338" s="427">
        <f ca="1">IFERROR(__xludf.DUMMYFUNCTION("IMPORTRANGE(""https://docs.google.com/spreadsheets/d/1-uDff_7J0KD5mKrp0Vvzr7lt3OU09vwQwhkpOPPYv2Y/edit?usp=sharing"",""งบพรบ!EZ65"")"),58600)</f>
        <v>58600</v>
      </c>
      <c r="O338" s="427">
        <f ca="1">IF(L338&gt;0,N338*100/L338,0)</f>
        <v>26.563916591115142</v>
      </c>
      <c r="P338" s="427">
        <f ca="1">IF(M338&gt;0,N338*100/M338,0)</f>
        <v>35.016432626232444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IFERROR(__xludf.DUMMYFUNCTION("IMPORTRANGE(""https://docs.google.com/spreadsheets/d/1-uDff_7J0KD5mKrp0Vvzr7lt3OU09vwQwhkpOPPYv2Y/edit?usp=sharing"",""งบพรบ!EV65"")"),0)</f>
        <v>0</v>
      </c>
      <c r="M341" s="427">
        <f ca="1">IFERROR(__xludf.DUMMYFUNCTION("IMPORTRANGE(""https://docs.google.com/spreadsheets/d/1-uDff_7J0KD5mKrp0Vvzr7lt3OU09vwQwhkpOPPYv2Y/edit?usp=sharing"",""งบพรบ!EY65"")"),0)</f>
        <v>0</v>
      </c>
      <c r="N341" s="427">
        <f ca="1">IFERROR(__xludf.DUMMYFUNCTION("IMPORTRANGE(""https://docs.google.com/spreadsheets/d/1-uDff_7J0KD5mKrp0Vvzr7lt3OU09vwQwhkpOPPYv2Y/edit?usp=sharing"",""งบพรบ!FA65"")"),0)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111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IFERROR(__xludf.DUMMYFUNCTION("IMPORTRANGE(""https://docs.google.com/spreadsheets/d/1eHaY18a8A9IcSdp1K8H6x8fbOy06t2VsZHhMHf-1x7Y/edit?usp=sharing"",""แผน!EK65"")"),460)</f>
        <v>460</v>
      </c>
      <c r="J344" s="426">
        <f ca="1">IFERROR(__xludf.DUMMYFUNCTION("IMPORTRANGE(""https://docs.google.com/spreadsheets/d/1awYsYK3VOup2i3Pq_Yjnu8DRu_mYwSBnCR2QPthd0rU/edit?usp=sharing"",""ศูนย์ยกเว้นโฉนด!D65"")"),100)</f>
        <v>100</v>
      </c>
      <c r="K344" s="427">
        <f ca="1">IF(I344&gt;0,J344*100/I344,0)</f>
        <v>21.739130434782609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IFERROR(__xludf.DUMMYFUNCTION("IMPORTRANGE(""https://docs.google.com/spreadsheets/d/1eHaY18a8A9IcSdp1K8H6x8fbOy06t2VsZHhMHf-1x7Y/edit?usp=sharing"",""แผน!EL65"")"),3)</f>
        <v>3</v>
      </c>
      <c r="J346" s="426">
        <f ca="1">IFERROR(__xludf.DUMMYFUNCTION("IMPORTRANGE(""https://docs.google.com/spreadsheets/d/1awYsYK3VOup2i3Pq_Yjnu8DRu_mYwSBnCR2QPthd0rU/edit?usp=sharing"",""ศูนย์รวม!E65"")"),0)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IFERROR(__xludf.DUMMYFUNCTION("IMPORTRANGE(""https://docs.google.com/spreadsheets/d/1awYsYK3VOup2i3Pq_Yjnu8DRu_mYwSBnCR2QPthd0rU/edit?usp=sharing"",""ศูนย์ยกเว้นโฉนด!F65"")"),0)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IFERROR(__xludf.DUMMYFUNCTION("IMPORTRANGE(""https://docs.google.com/spreadsheets/d/1awYsYK3VOup2i3Pq_Yjnu8DRu_mYwSBnCR2QPthd0rU/edit?usp=sharing"",""ศูนย์ยกเว้นโฉนด!G65"")"),11)</f>
        <v>11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IFERROR(__xludf.DUMMYFUNCTION("IMPORTRANGE(""https://docs.google.com/spreadsheets/d/1awYsYK3VOup2i3Pq_Yjnu8DRu_mYwSBnCR2QPthd0rU/edit?usp=sharing"",""ศูนย์ยกเว้นโฉนด!H65"")"),0)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562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IFERROR(__xludf.DUMMYFUNCTION("IMPORTRANGE(""https://docs.google.com/spreadsheets/d/1awYsYK3VOup2i3Pq_Yjnu8DRu_mYwSBnCR2QPthd0rU/edit?usp=sharing"",""โฉนดM3!G65"")"),2)</f>
        <v>2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IFERROR(__xludf.DUMMYFUNCTION("IMPORTRANGE(""https://docs.google.com/spreadsheets/d/1awYsYK3VOup2i3Pq_Yjnu8DRu_mYwSBnCR2QPthd0rU/edit?usp=sharing"",""โฉนดM3!H65"")"),560)</f>
        <v>560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227690</v>
      </c>
      <c r="M356" s="737">
        <f ca="1">M357+M358</f>
        <v>175690</v>
      </c>
      <c r="N356" s="737">
        <f ca="1">N357+N358</f>
        <v>58480</v>
      </c>
      <c r="O356" s="737">
        <f ca="1">IF(L356&gt;0,N356*100/L356,0)</f>
        <v>25.684044095041504</v>
      </c>
      <c r="P356" s="737">
        <f ca="1">IF(M356&gt;0,N356*100/M356,0)</f>
        <v>33.285901303432183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227690</v>
      </c>
      <c r="M358" s="427">
        <f ca="1">M361+M364</f>
        <v>175690</v>
      </c>
      <c r="N358" s="427">
        <f ca="1">N361+N364</f>
        <v>58480</v>
      </c>
      <c r="O358" s="427">
        <f ca="1">IF(L358&gt;0,N358*100/L358,0)</f>
        <v>25.684044095041504</v>
      </c>
      <c r="P358" s="427">
        <f ca="1">IF(M358&gt;0,N358*100/M358,0)</f>
        <v>33.285901303432183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227690</v>
      </c>
      <c r="M359" s="427">
        <f ca="1">M360+M361</f>
        <v>175690</v>
      </c>
      <c r="N359" s="427">
        <f ca="1">N360+N361</f>
        <v>58480</v>
      </c>
      <c r="O359" s="427">
        <f ca="1">IF(L359&gt;0,N359*100/L359,0)</f>
        <v>25.684044095041504</v>
      </c>
      <c r="P359" s="427">
        <f ca="1">IF(M359&gt;0,N359*100/M359,0)</f>
        <v>33.285901303432183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IFERROR(__xludf.DUMMYFUNCTION("IMPORTRANGE(""https://docs.google.com/spreadsheets/d/1-uDff_7J0KD5mKrp0Vvzr7lt3OU09vwQwhkpOPPYv2Y/edit?usp=sharing"",""งบพรบ!FC65"")"),227690)</f>
        <v>227690</v>
      </c>
      <c r="M361" s="427">
        <f ca="1">IFERROR(__xludf.DUMMYFUNCTION("IMPORTRANGE(""https://docs.google.com/spreadsheets/d/1-uDff_7J0KD5mKrp0Vvzr7lt3OU09vwQwhkpOPPYv2Y/edit?usp=sharing"",""งบพรบ!FH65"")"),175690)</f>
        <v>175690</v>
      </c>
      <c r="N361" s="427">
        <f ca="1">IFERROR(__xludf.DUMMYFUNCTION("IMPORTRANGE(""https://docs.google.com/spreadsheets/d/1-uDff_7J0KD5mKrp0Vvzr7lt3OU09vwQwhkpOPPYv2Y/edit?usp=sharing"",""งบพรบ!FJ65"")"),58480)</f>
        <v>58480</v>
      </c>
      <c r="O361" s="427">
        <f ca="1">IF(L361&gt;0,N361*100/L361,0)</f>
        <v>25.684044095041504</v>
      </c>
      <c r="P361" s="427">
        <f ca="1">IF(M361&gt;0,N361*100/M361,0)</f>
        <v>33.285901303432183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IFERROR(__xludf.DUMMYFUNCTION("IMPORTRANGE(""https://docs.google.com/spreadsheets/d/1-uDff_7J0KD5mKrp0Vvzr7lt3OU09vwQwhkpOPPYv2Y/edit?usp=sharing"",""งบพรบ!FF65"")"),0)</f>
        <v>0</v>
      </c>
      <c r="M364" s="427">
        <f ca="1">IFERROR(__xludf.DUMMYFUNCTION("IMPORTRANGE(""https://docs.google.com/spreadsheets/d/1-uDff_7J0KD5mKrp0Vvzr7lt3OU09vwQwhkpOPPYv2Y/edit?usp=sharing"",""งบพรบ!FI65"")"),0)</f>
        <v>0</v>
      </c>
      <c r="N364" s="427">
        <f ca="1">IFERROR(__xludf.DUMMYFUNCTION("IMPORTRANGE(""https://docs.google.com/spreadsheets/d/1-uDff_7J0KD5mKrp0Vvzr7lt3OU09vwQwhkpOPPYv2Y/edit?usp=sharing"",""งบพรบ!FK65"")"),0)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29</v>
      </c>
      <c r="J365" s="440">
        <f ca="1">J371</f>
        <v>1</v>
      </c>
      <c r="K365" s="441">
        <f ca="1">IF(I365&gt;0,J365*100/I365,0)</f>
        <v>3.4482758620689653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IFERROR(__xludf.DUMMYFUNCTION("IMPORTRANGE(""https://docs.google.com/spreadsheets/d/1tdoBKaGub7dwA3U6UFTqxio9LNnvDCQjHKmttSEBsFQ/edit?usp=sharing"",""จัดที่ดิน!AB65"")"),0)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IFERROR(__xludf.DUMMYFUNCTION("IMPORTRANGE(""https://docs.google.com/spreadsheets/d/1eHaY18a8A9IcSdp1K8H6x8fbOy06t2VsZHhMHf-1x7Y/edit?usp=sharing"",""แผน!EW65"")"),205)</f>
        <v>205</v>
      </c>
      <c r="J368" s="726">
        <f ca="1">IFERROR(__xludf.DUMMYFUNCTION("IMPORTRANGE(""https://docs.google.com/spreadsheets/d/1tdoBKaGub7dwA3U6UFTqxio9LNnvDCQjHKmttSEBsFQ/edit?usp=sharing"",""จัดที่ดิน!AC65"")"),0)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IFERROR(__xludf.DUMMYFUNCTION("IMPORTRANGE(""https://docs.google.com/spreadsheets/d/1eHaY18a8A9IcSdp1K8H6x8fbOy06t2VsZHhMHf-1x7Y/edit?usp=sharing"",""แผน!EX65"")"),35)</f>
        <v>35</v>
      </c>
      <c r="J369" s="426">
        <f ca="1">IFERROR(__xludf.DUMMYFUNCTION("IMPORTRANGE(""https://docs.google.com/spreadsheets/d/1tdoBKaGub7dwA3U6UFTqxio9LNnvDCQjHKmttSEBsFQ/edit?usp=sharing"",""จัดที่ดิน!AD65"")"),4)</f>
        <v>4</v>
      </c>
      <c r="K369" s="427">
        <f ca="1">IF(I369&gt;0,J369*100/I369,0)</f>
        <v>11.428571428571429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IFERROR(__xludf.DUMMYFUNCTION("IMPORTRANGE(""https://docs.google.com/spreadsheets/d/1tdoBKaGub7dwA3U6UFTqxio9LNnvDCQjHKmttSEBsFQ/edit?usp=sharing"",""จัดที่ดิน!AE65"")"),56.73)</f>
        <v>56.73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IFERROR(__xludf.DUMMYFUNCTION("IMPORTRANGE(""https://docs.google.com/spreadsheets/d/1eHaY18a8A9IcSdp1K8H6x8fbOy06t2VsZHhMHf-1x7Y/edit?usp=sharing"",""แผน!EY65"")"),29)</f>
        <v>29</v>
      </c>
      <c r="J371" s="426">
        <f ca="1">IFERROR(__xludf.DUMMYFUNCTION("IMPORTRANGE(""https://docs.google.com/spreadsheets/d/1tdoBKaGub7dwA3U6UFTqxio9LNnvDCQjHKmttSEBsFQ/edit?usp=sharing"",""จัดที่ดิน!AF65"")"),1)</f>
        <v>1</v>
      </c>
      <c r="K371" s="427">
        <f ca="1">IF(I371&gt;0,J371*100/I371,0)</f>
        <v>3.4482758620689653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IFERROR(__xludf.DUMMYFUNCTION("IMPORTRANGE(""https://docs.google.com/spreadsheets/d/1tdoBKaGub7dwA3U6UFTqxio9LNnvDCQjHKmttSEBsFQ/edit?usp=sharing"",""จัดที่ดิน!AG65"")"),46.62)</f>
        <v>46.62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IFERROR(__xludf.DUMMYFUNCTION("IMPORTRANGE(""https://docs.google.com/spreadsheets/d/1-uDff_7J0KD5mKrp0Vvzr7lt3OU09vwQwhkpOPPYv2Y/edit?usp=sharing"",""งบพรบ!FM65"")"),0)</f>
        <v>0</v>
      </c>
      <c r="M382" s="522">
        <f ca="1">IFERROR(__xludf.DUMMYFUNCTION("IMPORTRANGE(""https://docs.google.com/spreadsheets/d/1-uDff_7J0KD5mKrp0Vvzr7lt3OU09vwQwhkpOPPYv2Y/edit?usp=sharing"",""งบพรบ!FR65"")"),0)</f>
        <v>0</v>
      </c>
      <c r="N382" s="522">
        <f ca="1">IFERROR(__xludf.DUMMYFUNCTION("IMPORTRANGE(""https://docs.google.com/spreadsheets/d/1-uDff_7J0KD5mKrp0Vvzr7lt3OU09vwQwhkpOPPYv2Y/edit?usp=sharing"",""งบพรบ!FT65"")"),0)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IFERROR(__xludf.DUMMYFUNCTION("IMPORTRANGE(""https://docs.google.com/spreadsheets/d/1-uDff_7J0KD5mKrp0Vvzr7lt3OU09vwQwhkpOPPYv2Y/edit?usp=sharing"",""งบพรบ!FP65"")"),0)</f>
        <v>0</v>
      </c>
      <c r="M385" s="522">
        <f ca="1">IFERROR(__xludf.DUMMYFUNCTION("IMPORTRANGE(""https://docs.google.com/spreadsheets/d/1-uDff_7J0KD5mKrp0Vvzr7lt3OU09vwQwhkpOPPYv2Y/edit?usp=sharing"",""งบพรบ!FS65"")"),0)</f>
        <v>0</v>
      </c>
      <c r="N385" s="522">
        <f ca="1">IFERROR(__xludf.DUMMYFUNCTION("IMPORTRANGE(""https://docs.google.com/spreadsheets/d/1-uDff_7J0KD5mKrp0Vvzr7lt3OU09vwQwhkpOPPYv2Y/edit?usp=sharing"",""งบพรบ!FU65"")"),0)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C0E3-F1D9-45B3-B28B-AF9D8B0EFBAB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178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1244850</v>
      </c>
      <c r="M18" s="865">
        <f ca="1">M19+M20</f>
        <v>1172040</v>
      </c>
      <c r="N18" s="865">
        <f ca="1">N19+N20</f>
        <v>495060.11</v>
      </c>
      <c r="O18" s="865">
        <f ca="1">IF(L18&gt;0,N18*100/L18,0)</f>
        <v>39.768655661324658</v>
      </c>
      <c r="P18" s="865">
        <f ca="1">IF(M18&gt;0,N18*100/M18,0)</f>
        <v>42.239182109825606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1244850</v>
      </c>
      <c r="M20" s="972">
        <f ca="1">M23+M26</f>
        <v>1172040</v>
      </c>
      <c r="N20" s="972">
        <f ca="1">N23+N26</f>
        <v>495060.11</v>
      </c>
      <c r="O20" s="972">
        <f ca="1">IF(L20&gt;0,N20*100/L20,0)</f>
        <v>39.768655661324658</v>
      </c>
      <c r="P20" s="972">
        <f ca="1">IF(M20&gt;0,N20*100/M20,0)</f>
        <v>42.239182109825606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1244850</v>
      </c>
      <c r="M21" s="427">
        <f ca="1">M22+M23</f>
        <v>1172040</v>
      </c>
      <c r="N21" s="427">
        <f ca="1">N22+N23</f>
        <v>495060.11</v>
      </c>
      <c r="O21" s="427">
        <f ca="1">IF(L21&gt;0,N21*100/L21,0)</f>
        <v>39.768655661324658</v>
      </c>
      <c r="P21" s="427">
        <f ca="1">IF(M21&gt;0,N21*100/M21,0)</f>
        <v>42.239182109825606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1244850</v>
      </c>
      <c r="M23" s="427">
        <f ca="1">M49+M64+M77+M99+M130+M144+M162+M191+M178+M271+M287+M308+M325+M338+M361+M382</f>
        <v>1172040</v>
      </c>
      <c r="N23" s="427">
        <f ca="1">N49+N64+N77+N99+N130+N144+N162+N191+N178+N271+N287+N308+N325+N338+N361+N382</f>
        <v>495060.11</v>
      </c>
      <c r="O23" s="427">
        <f ca="1">IF(L23&gt;0,N23*100/L23,0)</f>
        <v>39.768655661324658</v>
      </c>
      <c r="P23" s="427">
        <f ca="1">IF(M23&gt;0,N23*100/M23,0)</f>
        <v>42.239182109825606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1244850</v>
      </c>
      <c r="M40" s="964">
        <f ca="1">M44+M59+M72+M94+M125+M139+M157+M173+M186+M266+M282+M303+M320+M333+M356</f>
        <v>1172040</v>
      </c>
      <c r="N40" s="964">
        <f ca="1">N44+N59+N72+N94+N125+N139+N157+N173+N186+N266+N282+N303+N320+N333+N356</f>
        <v>495060.11</v>
      </c>
      <c r="O40" s="964">
        <f ca="1">IF(L40&gt;0,N40*100/L40,0)</f>
        <v>39.768655661324658</v>
      </c>
      <c r="P40" s="964">
        <f ca="1">IF(M40&gt;0,N40*100/M40,0)</f>
        <v>42.239182109825606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217800</v>
      </c>
      <c r="M44" s="949">
        <f ca="1">M45+M46</f>
        <v>217800</v>
      </c>
      <c r="N44" s="949">
        <f ca="1">N45+N46</f>
        <v>77000</v>
      </c>
      <c r="O44" s="949">
        <f ca="1">IF(L44&gt;0,N44*100/L44,0)</f>
        <v>35.353535353535356</v>
      </c>
      <c r="P44" s="949">
        <f ca="1">IF(M44&gt;0,N44*100/M44,0)</f>
        <v>35.353535353535356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217800</v>
      </c>
      <c r="M46" s="941">
        <f ca="1">M49+M52</f>
        <v>217800</v>
      </c>
      <c r="N46" s="941">
        <f ca="1">N49+N52</f>
        <v>77000</v>
      </c>
      <c r="O46" s="941">
        <f ca="1">IF(L46&gt;0,N46*100/L46,0)</f>
        <v>35.353535353535356</v>
      </c>
      <c r="P46" s="941">
        <f ca="1">IF(M46&gt;0,N46*100/M46,0)</f>
        <v>35.353535353535356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217800</v>
      </c>
      <c r="M47" s="427">
        <f ca="1">M48+M49</f>
        <v>217800</v>
      </c>
      <c r="N47" s="427">
        <f ca="1">N48+N49</f>
        <v>77000</v>
      </c>
      <c r="O47" s="427">
        <f ca="1">IF(L47&gt;0,N47*100/L47,0)</f>
        <v>35.353535353535356</v>
      </c>
      <c r="P47" s="427">
        <f ca="1">IF(M47&gt;0,N47*100/M47,0)</f>
        <v>35.353535353535356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IFERROR(__xludf.DUMMYFUNCTION("IMPORTRANGE(""https://docs.google.com/spreadsheets/d/1-uDff_7J0KD5mKrp0Vvzr7lt3OU09vwQwhkpOPPYv2Y/edit?usp=sharing"",""งบพรบ!P66"")"),217800)</f>
        <v>217800</v>
      </c>
      <c r="M49" s="427">
        <f ca="1">IFERROR(__xludf.DUMMYFUNCTION("IMPORTRANGE(""https://docs.google.com/spreadsheets/d/1-uDff_7J0KD5mKrp0Vvzr7lt3OU09vwQwhkpOPPYv2Y/edit?usp=sharing"",""งบพรบ!V66"")"),217800)</f>
        <v>217800</v>
      </c>
      <c r="N49" s="427">
        <f ca="1">IFERROR(__xludf.DUMMYFUNCTION("IMPORTRANGE(""https://docs.google.com/spreadsheets/d/1-uDff_7J0KD5mKrp0Vvzr7lt3OU09vwQwhkpOPPYv2Y/edit?usp=sharing"",""งบพรบ!Y66"")"),77000)</f>
        <v>77000</v>
      </c>
      <c r="O49" s="427">
        <f ca="1">IF(L49&gt;0,N49*100/L49,0)</f>
        <v>35.353535353535356</v>
      </c>
      <c r="P49" s="427">
        <f ca="1">IF(M49&gt;0,N49*100/M49,0)</f>
        <v>35.353535353535356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IFERROR(__xludf.DUMMYFUNCTION("IMPORTRANGE(""https://docs.google.com/spreadsheets/d/1-uDff_7J0KD5mKrp0Vvzr7lt3OU09vwQwhkpOPPYv2Y/edit?usp=sharing"",""งบพรบ!S66"")"),0)</f>
        <v>0</v>
      </c>
      <c r="M52" s="427">
        <f ca="1">IFERROR(__xludf.DUMMYFUNCTION("IMPORTRANGE(""https://docs.google.com/spreadsheets/d/1-uDff_7J0KD5mKrp0Vvzr7lt3OU09vwQwhkpOPPYv2Y/edit?usp=sharing"",""งบพรบ!W66"")"),0)</f>
        <v>0</v>
      </c>
      <c r="N52" s="427">
        <f ca="1">IFERROR(__xludf.DUMMYFUNCTION("IMPORTRANGE(""https://docs.google.com/spreadsheets/d/1-uDff_7J0KD5mKrp0Vvzr7lt3OU09vwQwhkpOPPYv2Y/edit?usp=sharing"",""งบพรบ!Z66"")"),0)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219400</v>
      </c>
      <c r="M59" s="921">
        <f ca="1">M60+M61</f>
        <v>325040</v>
      </c>
      <c r="N59" s="921">
        <f ca="1">N60+N61</f>
        <v>159498.9</v>
      </c>
      <c r="O59" s="921">
        <f ca="1">IF(L59&gt;0,N59*100/L59,0)</f>
        <v>72.697766636280761</v>
      </c>
      <c r="P59" s="921">
        <f ca="1">IF(M59&gt;0,N59*100/M59,0)</f>
        <v>49.070545163672165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219400</v>
      </c>
      <c r="M61" s="913">
        <f ca="1">M64+M67</f>
        <v>325040</v>
      </c>
      <c r="N61" s="913">
        <f ca="1">N64+N67</f>
        <v>159498.9</v>
      </c>
      <c r="O61" s="913">
        <f ca="1">IF(L61&gt;0,N61*100/L61,0)</f>
        <v>72.697766636280761</v>
      </c>
      <c r="P61" s="913">
        <f ca="1">IF(M61&gt;0,N61*100/M61,0)</f>
        <v>49.070545163672165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219400</v>
      </c>
      <c r="M62" s="427">
        <f ca="1">M63+M64</f>
        <v>325040</v>
      </c>
      <c r="N62" s="427">
        <f ca="1">N63+N64</f>
        <v>159498.9</v>
      </c>
      <c r="O62" s="427">
        <f ca="1">IF(L62&gt;0,N62*100/L62,0)</f>
        <v>72.697766636280761</v>
      </c>
      <c r="P62" s="427">
        <f ca="1">IF(M62&gt;0,N62*100/M62,0)</f>
        <v>49.070545163672165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IFERROR(__xludf.DUMMYFUNCTION("IMPORTRANGE(""https://docs.google.com/spreadsheets/d/1-uDff_7J0KD5mKrp0Vvzr7lt3OU09vwQwhkpOPPYv2Y/edit?usp=sharing"",""งบพรบ!AC66"")"),219400)</f>
        <v>219400</v>
      </c>
      <c r="M64" s="427">
        <f ca="1">IFERROR(__xludf.DUMMYFUNCTION("IMPORTRANGE(""https://docs.google.com/spreadsheets/d/1-uDff_7J0KD5mKrp0Vvzr7lt3OU09vwQwhkpOPPYv2Y/edit?usp=sharing"",""งบพรบ!AH66"")"),325040)</f>
        <v>325040</v>
      </c>
      <c r="N64" s="427">
        <f ca="1">IFERROR(__xludf.DUMMYFUNCTION("IMPORTRANGE(""https://docs.google.com/spreadsheets/d/1-uDff_7J0KD5mKrp0Vvzr7lt3OU09vwQwhkpOPPYv2Y/edit?usp=sharing"",""งบพรบ!AJ66"")"),159498.9)</f>
        <v>159498.9</v>
      </c>
      <c r="O64" s="427">
        <f ca="1">IF(L64&gt;0,N64*100/L64,0)</f>
        <v>72.697766636280761</v>
      </c>
      <c r="P64" s="427">
        <f ca="1">IF(M64&gt;0,N64*100/M64,0)</f>
        <v>49.070545163672165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IFERROR(__xludf.DUMMYFUNCTION("IMPORTRANGE(""https://docs.google.com/spreadsheets/d/1-uDff_7J0KD5mKrp0Vvzr7lt3OU09vwQwhkpOPPYv2Y/edit?usp=sharing"",""งบพรบ!AF66"")"),0)</f>
        <v>0</v>
      </c>
      <c r="M67" s="644">
        <f ca="1">IFERROR(__xludf.DUMMYFUNCTION("IMPORTRANGE(""https://docs.google.com/spreadsheets/d/1-uDff_7J0KD5mKrp0Vvzr7lt3OU09vwQwhkpOPPYv2Y/edit?usp=sharing"",""งบพรบ!AI66"")"),0)</f>
        <v>0</v>
      </c>
      <c r="N67" s="644">
        <f ca="1">IFERROR(__xludf.DUMMYFUNCTION("IMPORTRANGE(""https://docs.google.com/spreadsheets/d/1-uDff_7J0KD5mKrp0Vvzr7lt3OU09vwQwhkpOPPYv2Y/edit?usp=sharing"",""งบพรบ!AK66"")"),0)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IFERROR(__xludf.DUMMYFUNCTION("IMPORTRANGE(""https://docs.google.com/spreadsheets/d/1-uDff_7J0KD5mKrp0Vvzr7lt3OU09vwQwhkpOPPYv2Y/edit?usp=sharing"",""งบพรบ!AM66"")"),0)</f>
        <v>0</v>
      </c>
      <c r="M77" s="427">
        <f ca="1">IFERROR(__xludf.DUMMYFUNCTION("IMPORTRANGE(""https://docs.google.com/spreadsheets/d/1-uDff_7J0KD5mKrp0Vvzr7lt3OU09vwQwhkpOPPYv2Y/edit?usp=sharing"",""งบพรบ!AR66"")"),0)</f>
        <v>0</v>
      </c>
      <c r="N77" s="427">
        <f ca="1">IFERROR(__xludf.DUMMYFUNCTION("IMPORTRANGE(""https://docs.google.com/spreadsheets/d/1-uDff_7J0KD5mKrp0Vvzr7lt3OU09vwQwhkpOPPYv2Y/edit?usp=sharing"",""งบพรบ!AT66"")"),0)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IFERROR(__xludf.DUMMYFUNCTION("IMPORTRANGE(""https://docs.google.com/spreadsheets/d/1-uDff_7J0KD5mKrp0Vvzr7lt3OU09vwQwhkpOPPYv2Y/edit?usp=sharing"",""งบพรบ!AP66"")"),0)</f>
        <v>0</v>
      </c>
      <c r="M80" s="427">
        <f ca="1">IFERROR(__xludf.DUMMYFUNCTION("IMPORTRANGE(""https://docs.google.com/spreadsheets/d/1-uDff_7J0KD5mKrp0Vvzr7lt3OU09vwQwhkpOPPYv2Y/edit?usp=sharing"",""งบพรบ!AS66"")"),0)</f>
        <v>0</v>
      </c>
      <c r="N80" s="427">
        <f ca="1">IFERROR(__xludf.DUMMYFUNCTION("IMPORTRANGE(""https://docs.google.com/spreadsheets/d/1-uDff_7J0KD5mKrp0Vvzr7lt3OU09vwQwhkpOPPYv2Y/edit?usp=sharing"",""งบพรบ!AU66"")"),0)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IFERROR(__xludf.DUMMYFUNCTION("IMPORTRANGE(""https://docs.google.com/spreadsheets/d/1eHaY18a8A9IcSdp1K8H6x8fbOy06t2VsZHhMHf-1x7Y/edit?usp=sharing"",""แผน!H66"")"),0)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IFERROR(__xludf.DUMMYFUNCTION("IMPORTRANGE(""https://docs.google.com/spreadsheets/d/1eHaY18a8A9IcSdp1K8H6x8fbOy06t2VsZHhMHf-1x7Y/edit?usp=sharing"",""แผน!I66"")"),0)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IFERROR(__xludf.DUMMYFUNCTION("IMPORTRANGE(""https://docs.google.com/spreadsheets/d/1eHaY18a8A9IcSdp1K8H6x8fbOy06t2VsZHhMHf-1x7Y/edit?usp=sharing"",""แผน!F66"")"),0)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IFERROR(__xludf.DUMMYFUNCTION("IMPORTRANGE(""https://docs.google.com/spreadsheets/d/1eHaY18a8A9IcSdp1K8H6x8fbOy06t2VsZHhMHf-1x7Y/edit?usp=sharing"",""แผน!G66"")"),0)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IFERROR(__xludf.DUMMYFUNCTION("IMPORTRANGE(""https://docs.google.com/spreadsheets/d/1eHaY18a8A9IcSdp1K8H6x8fbOy06t2VsZHhMHf-1x7Y/edit?usp=sharing"",""แผน!D66"")"),0)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IFERROR(__xludf.DUMMYFUNCTION("IMPORTRANGE(""https://docs.google.com/spreadsheets/d/1eHaY18a8A9IcSdp1K8H6x8fbOy06t2VsZHhMHf-1x7Y/edit?usp=sharing"",""แผน!E66"")"),0)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IFERROR(__xludf.DUMMYFUNCTION("IMPORTRANGE(""https://docs.google.com/spreadsheets/d/1eHaY18a8A9IcSdp1K8H6x8fbOy06t2VsZHhMHf-1x7Y/edit?usp=sharing"",""แผน!J66"")"),0)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IFERROR(__xludf.DUMMYFUNCTION("IMPORTRANGE(""https://docs.google.com/spreadsheets/d/1-uDff_7J0KD5mKrp0Vvzr7lt3OU09vwQwhkpOPPYv2Y/edit?usp=sharing"",""งบพรบ!AW66"")"),0)</f>
        <v>0</v>
      </c>
      <c r="M99" s="427">
        <f ca="1">IFERROR(__xludf.DUMMYFUNCTION("IMPORTRANGE(""https://docs.google.com/spreadsheets/d/1-uDff_7J0KD5mKrp0Vvzr7lt3OU09vwQwhkpOPPYv2Y/edit?usp=sharing"",""งบพรบ!BB66"")"),0)</f>
        <v>0</v>
      </c>
      <c r="N99" s="427">
        <f ca="1">IFERROR(__xludf.DUMMYFUNCTION("IMPORTRANGE(""https://docs.google.com/spreadsheets/d/1-uDff_7J0KD5mKrp0Vvzr7lt3OU09vwQwhkpOPPYv2Y/edit?usp=sharing"",""งบพรบ!BD66"")"),0)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IFERROR(__xludf.DUMMYFUNCTION("IMPORTRANGE(""https://docs.google.com/spreadsheets/d/1-uDff_7J0KD5mKrp0Vvzr7lt3OU09vwQwhkpOPPYv2Y/edit?usp=sharing"",""งบพรบ!AZ66"")"),0)</f>
        <v>0</v>
      </c>
      <c r="M102" s="427">
        <f ca="1">IFERROR(__xludf.DUMMYFUNCTION("IMPORTRANGE(""https://docs.google.com/spreadsheets/d/1-uDff_7J0KD5mKrp0Vvzr7lt3OU09vwQwhkpOPPYv2Y/edit?usp=sharing"",""งบพรบ!BC66"")"),0)</f>
        <v>0</v>
      </c>
      <c r="N102" s="427">
        <f ca="1">IFERROR(__xludf.DUMMYFUNCTION("IMPORTRANGE(""https://docs.google.com/spreadsheets/d/1-uDff_7J0KD5mKrp0Vvzr7lt3OU09vwQwhkpOPPYv2Y/edit?usp=sharing"",""งบพรบ!BE66"")"),0)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IFERROR(__xludf.DUMMYFUNCTION("IMPORTRANGE(""https://docs.google.com/spreadsheets/d/1eHaY18a8A9IcSdp1K8H6x8fbOy06t2VsZHhMHf-1x7Y/edit?usp=sharing"",""แผน!N66"")"),0)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IFERROR(__xludf.DUMMYFUNCTION("IMPORTRANGE(""https://docs.google.com/spreadsheets/d/1eHaY18a8A9IcSdp1K8H6x8fbOy06t2VsZHhMHf-1x7Y/edit?usp=sharing"",""แผน!O66"")"),0)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IFERROR(__xludf.DUMMYFUNCTION("IMPORTRANGE(""https://docs.google.com/spreadsheets/d/1eHaY18a8A9IcSdp1K8H6x8fbOy06t2VsZHhMHf-1x7Y/edit?usp=sharing"",""แผน!R66"")"),0)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IFERROR(__xludf.DUMMYFUNCTION("IMPORTRANGE(""https://docs.google.com/spreadsheets/d/1-uDff_7J0KD5mKrp0Vvzr7lt3OU09vwQwhkpOPPYv2Y/edit?usp=sharing"",""งบพรบ!BG66"")"),0)</f>
        <v>0</v>
      </c>
      <c r="M130" s="886">
        <f ca="1">IFERROR(__xludf.DUMMYFUNCTION("IMPORTRANGE(""https://docs.google.com/spreadsheets/d/1-uDff_7J0KD5mKrp0Vvzr7lt3OU09vwQwhkpOPPYv2Y/edit?usp=sharing"",""งบพรบ!BL66"")"),0)</f>
        <v>0</v>
      </c>
      <c r="N130" s="886">
        <f ca="1">IFERROR(__xludf.DUMMYFUNCTION("IMPORTRANGE(""https://docs.google.com/spreadsheets/d/1-uDff_7J0KD5mKrp0Vvzr7lt3OU09vwQwhkpOPPYv2Y/edit?usp=sharing"",""งบพรบ!BN66"")"),0)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IFERROR(__xludf.DUMMYFUNCTION("IMPORTRANGE(""https://docs.google.com/spreadsheets/d/1-uDff_7J0KD5mKrp0Vvzr7lt3OU09vwQwhkpOPPYv2Y/edit?usp=sharing"",""งบพรบ!BJ66"")"),0)</f>
        <v>0</v>
      </c>
      <c r="M133" s="886">
        <f ca="1">IFERROR(__xludf.DUMMYFUNCTION("IMPORTRANGE(""https://docs.google.com/spreadsheets/d/1-uDff_7J0KD5mKrp0Vvzr7lt3OU09vwQwhkpOPPYv2Y/edit?usp=sharing"",""งบพรบ!BM66"")"),0)</f>
        <v>0</v>
      </c>
      <c r="N133" s="886">
        <f ca="1">IFERROR(__xludf.DUMMYFUNCTION("IMPORTRANGE(""https://docs.google.com/spreadsheets/d/1-uDff_7J0KD5mKrp0Vvzr7lt3OU09vwQwhkpOPPYv2Y/edit?usp=sharing"",""งบพรบ!BO66"")"),0)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IFERROR(__xludf.DUMMYFUNCTION("IMPORTRANGE(""https://docs.google.com/spreadsheets/d/1-uDff_7J0KD5mKrp0Vvzr7lt3OU09vwQwhkpOPPYv2Y/edit?usp=sharing"",""งบพรบ!BQ66"")"),0)</f>
        <v>0</v>
      </c>
      <c r="M144" s="427">
        <f ca="1">IFERROR(__xludf.DUMMYFUNCTION("IMPORTRANGE(""https://docs.google.com/spreadsheets/d/1-uDff_7J0KD5mKrp0Vvzr7lt3OU09vwQwhkpOPPYv2Y/edit?usp=sharing"",""งบพรบ!BV66"")"),0)</f>
        <v>0</v>
      </c>
      <c r="N144" s="427">
        <f ca="1">IFERROR(__xludf.DUMMYFUNCTION("IMPORTRANGE(""https://docs.google.com/spreadsheets/d/1-uDff_7J0KD5mKrp0Vvzr7lt3OU09vwQwhkpOPPYv2Y/edit?usp=sharing"",""งบพรบ!BX66"")"),0)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IFERROR(__xludf.DUMMYFUNCTION("IMPORTRANGE(""https://docs.google.com/spreadsheets/d/1-uDff_7J0KD5mKrp0Vvzr7lt3OU09vwQwhkpOPPYv2Y/edit?usp=sharing"",""งบพรบ!BT66"")"),0)</f>
        <v>0</v>
      </c>
      <c r="M147" s="427">
        <f ca="1">IFERROR(__xludf.DUMMYFUNCTION("IMPORTRANGE(""https://docs.google.com/spreadsheets/d/1-uDff_7J0KD5mKrp0Vvzr7lt3OU09vwQwhkpOPPYv2Y/edit?usp=sharing"",""งบพรบ!BW66"")"),0)</f>
        <v>0</v>
      </c>
      <c r="N147" s="427">
        <f ca="1">IFERROR(__xludf.DUMMYFUNCTION("IMPORTRANGE(""https://docs.google.com/spreadsheets/d/1-uDff_7J0KD5mKrp0Vvzr7lt3OU09vwQwhkpOPPYv2Y/edit?usp=sharing"",""งบพรบ!BY66"")"),0)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IFERROR(__xludf.DUMMYFUNCTION("IMPORTRANGE(""https://docs.google.com/spreadsheets/d/1eHaY18a8A9IcSdp1K8H6x8fbOy06t2VsZHhMHf-1x7Y/edit?usp=sharing"",""แผน!U66"")"),0)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IFERROR(__xludf.DUMMYFUNCTION("IMPORTRANGE(""https://docs.google.com/spreadsheets/d/1eHaY18a8A9IcSdp1K8H6x8fbOy06t2VsZHhMHf-1x7Y/edit?usp=sharing"",""แผน!V66"")"),0)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IFERROR(__xludf.DUMMYFUNCTION("IMPORTRANGE(""https://docs.google.com/spreadsheets/d/1eHaY18a8A9IcSdp1K8H6x8fbOy06t2VsZHhMHf-1x7Y/edit?usp=sharing"",""แผน!W66"")"),0)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IFERROR(__xludf.DUMMYFUNCTION("IMPORTRANGE(""https://docs.google.com/spreadsheets/d/1eHaY18a8A9IcSdp1K8H6x8fbOy06t2VsZHhMHf-1x7Y/edit?usp=sharing"",""แผน!X66"")"),0)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IFERROR(__xludf.DUMMYFUNCTION("IMPORTRANGE(""https://docs.google.com/spreadsheets/d/1eHaY18a8A9IcSdp1K8H6x8fbOy06t2VsZHhMHf-1x7Y/edit?usp=sharing"",""แผน!Y66"")"),0)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IFERROR(__xludf.DUMMYFUNCTION("IMPORTRANGE(""https://docs.google.com/spreadsheets/d/1-uDff_7J0KD5mKrp0Vvzr7lt3OU09vwQwhkpOPPYv2Y/edit?usp=sharing"",""งบพรบ!CA66"")"),0)</f>
        <v>0</v>
      </c>
      <c r="M162" s="427">
        <f ca="1">IFERROR(__xludf.DUMMYFUNCTION("IMPORTRANGE(""https://docs.google.com/spreadsheets/d/1-uDff_7J0KD5mKrp0Vvzr7lt3OU09vwQwhkpOPPYv2Y/edit?usp=sharing"",""งบพรบ!CF66"")"),0)</f>
        <v>0</v>
      </c>
      <c r="N162" s="427">
        <f ca="1">IFERROR(__xludf.DUMMYFUNCTION("IMPORTRANGE(""https://docs.google.com/spreadsheets/d/1-uDff_7J0KD5mKrp0Vvzr7lt3OU09vwQwhkpOPPYv2Y/edit?usp=sharing"",""งบพรบ!CH66"")"),0)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IFERROR(__xludf.DUMMYFUNCTION("IMPORTRANGE(""https://docs.google.com/spreadsheets/d/1-uDff_7J0KD5mKrp0Vvzr7lt3OU09vwQwhkpOPPYv2Y/edit?usp=sharing"",""งบพรบ!CD66"")"),0)</f>
        <v>0</v>
      </c>
      <c r="M165" s="427">
        <f ca="1">IFERROR(__xludf.DUMMYFUNCTION("IMPORTRANGE(""https://docs.google.com/spreadsheets/d/1-uDff_7J0KD5mKrp0Vvzr7lt3OU09vwQwhkpOPPYv2Y/edit?usp=sharing"",""งบพรบ!CG66"")"),0)</f>
        <v>0</v>
      </c>
      <c r="N165" s="427">
        <f ca="1">IFERROR(__xludf.DUMMYFUNCTION("IMPORTRANGE(""https://docs.google.com/spreadsheets/d/1-uDff_7J0KD5mKrp0Vvzr7lt3OU09vwQwhkpOPPYv2Y/edit?usp=sharing"",""งบพรบ!CI66"")"),0)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IFERROR(__xludf.DUMMYFUNCTION("IMPORTRANGE(""https://docs.google.com/spreadsheets/d/1eHaY18a8A9IcSdp1K8H6x8fbOy06t2VsZHhMHf-1x7Y/edit?usp=sharing"",""แผน!Z66"")"),0)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IFERROR(__xludf.DUMMYFUNCTION("IMPORTRANGE(""https://docs.google.com/spreadsheets/d/1eHaY18a8A9IcSdp1K8H6x8fbOy06t2VsZHhMHf-1x7Y/edit?usp=sharing"",""แผน!Z66"")"),0)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IFERROR(__xludf.DUMMYFUNCTION("IMPORTRANGE(""https://docs.google.com/spreadsheets/d/1eHaY18a8A9IcSdp1K8H6x8fbOy06t2VsZHhMHf-1x7Y/edit?usp=sharing"",""แผน!Z66"")"),0)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IFERROR(__xludf.DUMMYFUNCTION("IMPORTRANGE(""https://docs.google.com/spreadsheets/d/1-uDff_7J0KD5mKrp0Vvzr7lt3OU09vwQwhkpOPPYv2Y/edit?usp=sharing"",""งบพรบ!CK66"")"),19590)</f>
        <v>19590</v>
      </c>
      <c r="M178" s="427">
        <f ca="1">IFERROR(__xludf.DUMMYFUNCTION("IMPORTRANGE(""https://docs.google.com/spreadsheets/d/1-uDff_7J0KD5mKrp0Vvzr7lt3OU09vwQwhkpOPPYv2Y/edit?usp=sharing"",""งบพรบ!CP66"")"),19590)</f>
        <v>19590</v>
      </c>
      <c r="N178" s="427">
        <f ca="1">IFERROR(__xludf.DUMMYFUNCTION("IMPORTRANGE(""https://docs.google.com/spreadsheets/d/1-uDff_7J0KD5mKrp0Vvzr7lt3OU09vwQwhkpOPPYv2Y/edit?usp=sharing"",""งบพรบ!CR66"")"),0)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IFERROR(__xludf.DUMMYFUNCTION("IMPORTRANGE(""https://docs.google.com/spreadsheets/d/1-uDff_7J0KD5mKrp0Vvzr7lt3OU09vwQwhkpOPPYv2Y/edit?usp=sharing"",""งบพรบ!CN66"")"),0)</f>
        <v>0</v>
      </c>
      <c r="M181" s="427">
        <f ca="1">IFERROR(__xludf.DUMMYFUNCTION("IMPORTRANGE(""https://docs.google.com/spreadsheets/d/1-uDff_7J0KD5mKrp0Vvzr7lt3OU09vwQwhkpOPPYv2Y/edit?usp=sharing"",""งบพรบ!CQ66"")"),0)</f>
        <v>0</v>
      </c>
      <c r="N181" s="427">
        <f ca="1">IFERROR(__xludf.DUMMYFUNCTION("IMPORTRANGE(""https://docs.google.com/spreadsheets/d/1-uDff_7J0KD5mKrp0Vvzr7lt3OU09vwQwhkpOPPYv2Y/edit?usp=sharing"",""งบพรบ!CS66"")"),0)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IFERROR(__xludf.DUMMYFUNCTION("IMPORTRANGE(""https://docs.google.com/spreadsheets/d/1eHaY18a8A9IcSdp1K8H6x8fbOy06t2VsZHhMHf-1x7Y/edit?usp=sharing"",""แผน!AA66"")"),7)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15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150200</v>
      </c>
      <c r="M186" s="737">
        <f ca="1">M187+M188</f>
        <v>118500</v>
      </c>
      <c r="N186" s="737">
        <f ca="1">N187+N188</f>
        <v>41091.599999999999</v>
      </c>
      <c r="O186" s="737">
        <f ca="1">IF(L186&gt;0,N186*100/L186,0)</f>
        <v>27.357922769640478</v>
      </c>
      <c r="P186" s="737">
        <f ca="1">IF(M186&gt;0,N186*100/M186,0)</f>
        <v>34.676455696202531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150200</v>
      </c>
      <c r="M188" s="427">
        <f ca="1">M191+M194</f>
        <v>118500</v>
      </c>
      <c r="N188" s="427">
        <f ca="1">N191+N194</f>
        <v>41091.599999999999</v>
      </c>
      <c r="O188" s="427">
        <f ca="1">IF(L188&gt;0,N188*100/L188,0)</f>
        <v>27.357922769640478</v>
      </c>
      <c r="P188" s="427">
        <f ca="1">IF(M188&gt;0,N188*100/M188,0)</f>
        <v>34.676455696202531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150200</v>
      </c>
      <c r="M189" s="427">
        <f ca="1">M190+M191</f>
        <v>118500</v>
      </c>
      <c r="N189" s="427">
        <f ca="1">N190+N191</f>
        <v>41091.599999999999</v>
      </c>
      <c r="O189" s="427">
        <f ca="1">IF(L189&gt;0,N189*100/L189,0)</f>
        <v>27.357922769640478</v>
      </c>
      <c r="P189" s="427">
        <f ca="1">IF(M189&gt;0,N189*100/M189,0)</f>
        <v>34.676455696202531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IFERROR(__xludf.DUMMYFUNCTION("IMPORTRANGE(""https://docs.google.com/spreadsheets/d/1-uDff_7J0KD5mKrp0Vvzr7lt3OU09vwQwhkpOPPYv2Y/edit?usp=sharing"",""งบพรบ!CU66"")"),150200)</f>
        <v>150200</v>
      </c>
      <c r="M191" s="427">
        <f ca="1">IFERROR(__xludf.DUMMYFUNCTION("IMPORTRANGE(""https://docs.google.com/spreadsheets/d/1-uDff_7J0KD5mKrp0Vvzr7lt3OU09vwQwhkpOPPYv2Y/edit?usp=sharing"",""งบพรบ!CZ66"")"),118500)</f>
        <v>118500</v>
      </c>
      <c r="N191" s="427">
        <f ca="1">IFERROR(__xludf.DUMMYFUNCTION("IMPORTRANGE(""https://docs.google.com/spreadsheets/d/1-uDff_7J0KD5mKrp0Vvzr7lt3OU09vwQwhkpOPPYv2Y/edit?usp=sharing"",""งบพรบ!DB66"")"),41091.6)</f>
        <v>41091.599999999999</v>
      </c>
      <c r="O191" s="427">
        <f ca="1">IF(L191&gt;0,N191*100/L191,0)</f>
        <v>27.357922769640478</v>
      </c>
      <c r="P191" s="427">
        <f ca="1">IF(M191&gt;0,N191*100/M191,0)</f>
        <v>34.676455696202531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IFERROR(__xludf.DUMMYFUNCTION("IMPORTRANGE(""https://docs.google.com/spreadsheets/d/1-uDff_7J0KD5mKrp0Vvzr7lt3OU09vwQwhkpOPPYv2Y/edit?usp=sharing"",""งบพรบ!CX66"")"),0)</f>
        <v>0</v>
      </c>
      <c r="M194" s="427">
        <f ca="1">IFERROR(__xludf.DUMMYFUNCTION("IMPORTRANGE(""https://docs.google.com/spreadsheets/d/1-uDff_7J0KD5mKrp0Vvzr7lt3OU09vwQwhkpOPPYv2Y/edit?usp=sharing"",""งบพรบ!DA66"")"),0)</f>
        <v>0</v>
      </c>
      <c r="N194" s="427">
        <f ca="1">IFERROR(__xludf.DUMMYFUNCTION("IMPORTRANGE(""https://docs.google.com/spreadsheets/d/1-uDff_7J0KD5mKrp0Vvzr7lt3OU09vwQwhkpOPPYv2Y/edit?usp=sharing"",""งบพรบ!DC66"")"),0)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IFERROR(__xludf.DUMMYFUNCTION("IMPORTRANGE(""https://docs.google.com/spreadsheets/d/1eHaY18a8A9IcSdp1K8H6x8fbOy06t2VsZHhMHf-1x7Y/edit?usp=sharing"",""แผน!AB66"")"),6000)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IFERROR(__xludf.DUMMYFUNCTION("IMPORTRANGE(""https://docs.google.com/spreadsheets/d/1eHaY18a8A9IcSdp1K8H6x8fbOy06t2VsZHhMHf-1x7Y/edit?usp=sharing"",""แผน!AE66"")"),4)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IFERROR(__xludf.DUMMYFUNCTION("IMPORTRANGE(""https://docs.google.com/spreadsheets/d/1eHaY18a8A9IcSdp1K8H6x8fbOy06t2VsZHhMHf-1x7Y/edit?usp=sharing"",""แผน!AG66"")"),1000)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IFERROR(__xludf.DUMMYFUNCTION("IMPORTRANGE(""https://docs.google.com/spreadsheets/d/1eHaY18a8A9IcSdp1K8H6x8fbOy06t2VsZHhMHf-1x7Y/edit?usp=sharing"",""แผน!AH66"")"),0)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IFERROR(__xludf.DUMMYFUNCTION("IMPORTRANGE(""https://docs.google.com/spreadsheets/d/1eHaY18a8A9IcSdp1K8H6x8fbOy06t2VsZHhMHf-1x7Y/edit?usp=sharing"",""แผน!AI66"")"),8000)</f>
        <v>8000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IFERROR(__xludf.DUMMYFUNCTION("IMPORTRANGE(""https://docs.google.com/spreadsheets/d/1eHaY18a8A9IcSdp1K8H6x8fbOy06t2VsZHhMHf-1x7Y/edit?usp=sharing"",""แผน!AJ66"")"),4000)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IFERROR(__xludf.DUMMYFUNCTION("IMPORTRANGE(""https://docs.google.com/spreadsheets/d/1eHaY18a8A9IcSdp1K8H6x8fbOy06t2VsZHhMHf-1x7Y/edit?usp=sharing"",""แผน!AK66"")"),1)</f>
        <v>1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IFERROR(__xludf.DUMMYFUNCTION("IMPORTRANGE(""https://docs.google.com/spreadsheets/d/1eHaY18a8A9IcSdp1K8H6x8fbOy06t2VsZHhMHf-1x7Y/edit?usp=sharing"",""แผน!JX66"")"),1)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IFERROR(__xludf.DUMMYFUNCTION("IMPORTRANGE(""https://docs.google.com/spreadsheets/d/1eHaY18a8A9IcSdp1K8H6x8fbOy06t2VsZHhMHf-1x7Y/edit?usp=sharing"",""แผน!JY66"")"),0)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IFERROR(__xludf.DUMMYFUNCTION("IMPORTRANGE(""https://docs.google.com/spreadsheets/d/1eHaY18a8A9IcSdp1K8H6x8fbOy06t2VsZHhMHf-1x7Y/edit?usp=sharing"",""แผน!AM66"")"),0)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IFERROR(__xludf.DUMMYFUNCTION("IMPORTRANGE(""https://docs.google.com/spreadsheets/d/1eHaY18a8A9IcSdp1K8H6x8fbOy06t2VsZHhMHf-1x7Y/edit?usp=sharing"",""แผน!AN66"")"),0)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IFERROR(__xludf.DUMMYFUNCTION("IMPORTRANGE(""https://docs.google.com/spreadsheets/d/1eHaY18a8A9IcSdp1K8H6x8fbOy06t2VsZHhMHf-1x7Y/edit?usp=sharing"",""แผน!AO66"")"),0)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IFERROR(__xludf.DUMMYFUNCTION("IMPORTRANGE(""https://docs.google.com/spreadsheets/d/1eHaY18a8A9IcSdp1K8H6x8fbOy06t2VsZHhMHf-1x7Y/edit?usp=sharing"",""แผน!AP66"")"),0)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IFERROR(__xludf.DUMMYFUNCTION("IMPORTRANGE(""https://docs.google.com/spreadsheets/d/1eHaY18a8A9IcSdp1K8H6x8fbOy06t2VsZHhMHf-1x7Y/edit?usp=sharing"",""แผน!AP66"")"),0)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6400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IFERROR(__xludf.DUMMYFUNCTION("IMPORTRANGE(""https://docs.google.com/spreadsheets/d/1eHaY18a8A9IcSdp1K8H6x8fbOy06t2VsZHhMHf-1x7Y/edit?usp=sharing"",""แผน!AR66"")"),3000)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IFERROR(__xludf.DUMMYFUNCTION("IMPORTRANGE(""https://docs.google.com/spreadsheets/d/1eHaY18a8A9IcSdp1K8H6x8fbOy06t2VsZHhMHf-1x7Y/edit?usp=sharing"",""แผน!AS66"")"),1500)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IFERROR(__xludf.DUMMYFUNCTION("IMPORTRANGE(""https://docs.google.com/spreadsheets/d/1eHaY18a8A9IcSdp1K8H6x8fbOy06t2VsZHhMHf-1x7Y/edit?usp=sharing"",""แผน!AT66"")"),0)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IFERROR(__xludf.DUMMYFUNCTION("IMPORTRANGE(""https://docs.google.com/spreadsheets/d/1eHaY18a8A9IcSdp1K8H6x8fbOy06t2VsZHhMHf-1x7Y/edit?usp=sharing"",""แผน!AV66"")"),6400)</f>
        <v>6400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IFERROR(__xludf.DUMMYFUNCTION("IMPORTRANGE(""https://docs.google.com/spreadsheets/d/1eHaY18a8A9IcSdp1K8H6x8fbOy06t2VsZHhMHf-1x7Y/edit?usp=sharing"",""แผน!AV66"")"),6400)</f>
        <v>6400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IFERROR(__xludf.DUMMYFUNCTION("IMPORTRANGE(""https://docs.google.com/spreadsheets/d/1eHaY18a8A9IcSdp1K8H6x8fbOy06t2VsZHhMHf-1x7Y/edit?usp=sharing"",""แผน!AU66"")"),0)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61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15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6"/>
      <c r="C232" s="53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49500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6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8000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2000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24000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15500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533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603" t="s">
        <v>33</v>
      </c>
      <c r="I238" s="201">
        <f ca="1">I249+I260</f>
        <v>15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533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603" t="s">
        <v>33</v>
      </c>
      <c r="I240" s="201">
        <f ca="1">I251+I262</f>
        <v>15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603" t="s">
        <v>54</v>
      </c>
      <c r="I241" s="201">
        <f ca="1">I252+I263</f>
        <v>1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283" t="s">
        <v>160</v>
      </c>
      <c r="D242" s="284"/>
      <c r="E242" s="284"/>
      <c r="F242" s="284"/>
      <c r="G242" s="285"/>
      <c r="H242" s="286" t="s">
        <v>33</v>
      </c>
      <c r="I242" s="287">
        <f ca="1">I249</f>
        <v>15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53"/>
      <c r="C243" s="15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49500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53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IFERROR(__xludf.DUMMYFUNCTION("IMPORTRANGE(""https://docs.google.com/spreadsheets/d/1eHaY18a8A9IcSdp1K8H6x8fbOy06t2VsZHhMHf-1x7Y/edit?usp=sharing"",""แผน!AX66"")"),8000)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IFERROR(__xludf.DUMMYFUNCTION("IMPORTRANGE(""https://docs.google.com/spreadsheets/d/1eHaY18a8A9IcSdp1K8H6x8fbOy06t2VsZHhMHf-1x7Y/edit?usp=sharing"",""แผน!AY66"")"),2000)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IFERROR(__xludf.DUMMYFUNCTION("IMPORTRANGE(""https://docs.google.com/spreadsheets/d/1eHaY18a8A9IcSdp1K8H6x8fbOy06t2VsZHhMHf-1x7Y/edit?usp=sharing"",""แผน!AZ66"")"),24000)</f>
        <v>24000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IFERROR(__xludf.DUMMYFUNCTION("IMPORTRANGE(""https://docs.google.com/spreadsheets/d/1eHaY18a8A9IcSdp1K8H6x8fbOy06t2VsZHhMHf-1x7Y/edit?usp=sharing"",""แผน!BA66"")"),15500)</f>
        <v>15500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297" t="s">
        <v>33</v>
      </c>
      <c r="I249" s="196">
        <f ca="1">IFERROR(__xludf.DUMMYFUNCTION("IMPORTRANGE(""https://docs.google.com/spreadsheets/d/1eHaY18a8A9IcSdp1K8H6x8fbOy06t2VsZHhMHf-1x7Y/edit?usp=sharing"",""แผน!BG66"")"),15)</f>
        <v>15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297" t="s">
        <v>33</v>
      </c>
      <c r="I251" s="196">
        <f ca="1">IFERROR(__xludf.DUMMYFUNCTION("IMPORTRANGE(""https://docs.google.com/spreadsheets/d/1eHaY18a8A9IcSdp1K8H6x8fbOy06t2VsZHhMHf-1x7Y/edit?usp=sharing"",""แผน!KD66"")"),15)</f>
        <v>15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297" t="s">
        <v>54</v>
      </c>
      <c r="I252" s="196">
        <f ca="1">IFERROR(__xludf.DUMMYFUNCTION("IMPORTRANGE(""https://docs.google.com/spreadsheets/d/1eHaY18a8A9IcSdp1K8H6x8fbOy06t2VsZHhMHf-1x7Y/edit?usp=sharing"",""แผน!KE66"")"),1)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836" t="s">
        <v>152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IFERROR(__xludf.DUMMYFUNCTION("IMPORTRANGE(""https://docs.google.com/spreadsheets/d/1eHaY18a8A9IcSdp1K8H6x8fbOy06t2VsZHhMHf-1x7Y/edit?usp=sharing"",""แผน!BB66"")"),0)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751" t="s">
        <v>81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IFERROR(__xludf.DUMMYFUNCTION("IMPORTRANGE(""https://docs.google.com/spreadsheets/d/1eHaY18a8A9IcSdp1K8H6x8fbOy06t2VsZHhMHf-1x7Y/edit?usp=sharing"",""แผน!BC66"")"),0)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751" t="s">
        <v>82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IFERROR(__xludf.DUMMYFUNCTION("IMPORTRANGE(""https://docs.google.com/spreadsheets/d/1eHaY18a8A9IcSdp1K8H6x8fbOy06t2VsZHhMHf-1x7Y/edit?usp=sharing"",""แผน!BD66"")"),0)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295" t="s">
        <v>83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IFERROR(__xludf.DUMMYFUNCTION("IMPORTRANGE(""https://docs.google.com/spreadsheets/d/1eHaY18a8A9IcSdp1K8H6x8fbOy06t2VsZHhMHf-1x7Y/edit?usp=sharing"",""แผน!BE66"")"),0)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IFERROR(__xludf.DUMMYFUNCTION("IMPORTRANGE(""https://docs.google.com/spreadsheets/d/1eHaY18a8A9IcSdp1K8H6x8fbOy06t2VsZHhMHf-1x7Y/edit?usp=sharing"",""แผน!BH66"")"),0)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IFERROR(__xludf.DUMMYFUNCTION("IMPORTRANGE(""https://docs.google.com/spreadsheets/d/1-uDff_7J0KD5mKrp0Vvzr7lt3OU09vwQwhkpOPPYv2Y/edit?usp=sharing"",""งบพรบ!DE66"")"),0)</f>
        <v>0</v>
      </c>
      <c r="M271" s="522">
        <f ca="1">IFERROR(__xludf.DUMMYFUNCTION("IMPORTRANGE(""https://docs.google.com/spreadsheets/d/1-uDff_7J0KD5mKrp0Vvzr7lt3OU09vwQwhkpOPPYv2Y/edit?usp=sharing"",""งบพรบ!DJ66"")"),0)</f>
        <v>0</v>
      </c>
      <c r="N271" s="522">
        <f ca="1">IFERROR(__xludf.DUMMYFUNCTION("IMPORTRANGE(""https://docs.google.com/spreadsheets/d/1-uDff_7J0KD5mKrp0Vvzr7lt3OU09vwQwhkpOPPYv2Y/edit?usp=sharing"",""งบพรบ!DL66"")"),0)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IFERROR(__xludf.DUMMYFUNCTION("IMPORTRANGE(""https://docs.google.com/spreadsheets/d/1-uDff_7J0KD5mKrp0Vvzr7lt3OU09vwQwhkpOPPYv2Y/edit?usp=sharing"",""งบพรบ!DH66"")"),0)</f>
        <v>0</v>
      </c>
      <c r="M274" s="522">
        <f ca="1">IFERROR(__xludf.DUMMYFUNCTION("IMPORTRANGE(""https://docs.google.com/spreadsheets/d/1-uDff_7J0KD5mKrp0Vvzr7lt3OU09vwQwhkpOPPYv2Y/edit?usp=sharing"",""งบพรบ!DK66"")"),0)</f>
        <v>0</v>
      </c>
      <c r="N274" s="522">
        <f ca="1">IFERROR(__xludf.DUMMYFUNCTION("IMPORTRANGE(""https://docs.google.com/spreadsheets/d/1-uDff_7J0KD5mKrp0Vvzr7lt3OU09vwQwhkpOPPYv2Y/edit?usp=sharing"",""งบพรบ!DM66"")"),0)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IFERROR(__xludf.DUMMYFUNCTION("IMPORTRANGE(""https://docs.google.com/spreadsheets/d/1-uDff_7J0KD5mKrp0Vvzr7lt3OU09vwQwhkpOPPYv2Y/edit?usp=sharing"",""งบพรบ!DO66"")"),0)</f>
        <v>0</v>
      </c>
      <c r="M287" s="427">
        <f ca="1">IFERROR(__xludf.DUMMYFUNCTION("IMPORTRANGE(""https://docs.google.com/spreadsheets/d/1-uDff_7J0KD5mKrp0Vvzr7lt3OU09vwQwhkpOPPYv2Y/edit?usp=sharing"",""งบพรบ!DT66"")"),0)</f>
        <v>0</v>
      </c>
      <c r="N287" s="427">
        <f ca="1">IFERROR(__xludf.DUMMYFUNCTION("IMPORTRANGE(""https://docs.google.com/spreadsheets/d/1-uDff_7J0KD5mKrp0Vvzr7lt3OU09vwQwhkpOPPYv2Y/edit?usp=sharing"",""งบพรบ!DV66"")"),0)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IFERROR(__xludf.DUMMYFUNCTION("IMPORTRANGE(""https://docs.google.com/spreadsheets/d/1-uDff_7J0KD5mKrp0Vvzr7lt3OU09vwQwhkpOPPYv2Y/edit?usp=sharing"",""งบพรบ!DR66"")"),0)</f>
        <v>0</v>
      </c>
      <c r="M290" s="427">
        <f ca="1">IFERROR(__xludf.DUMMYFUNCTION("IMPORTRANGE(""https://docs.google.com/spreadsheets/d/1-uDff_7J0KD5mKrp0Vvzr7lt3OU09vwQwhkpOPPYv2Y/edit?usp=sharing"",""งบพรบ!DU66"")"),0)</f>
        <v>0</v>
      </c>
      <c r="N290" s="427">
        <f ca="1">IFERROR(__xludf.DUMMYFUNCTION("IMPORTRANGE(""https://docs.google.com/spreadsheets/d/1-uDff_7J0KD5mKrp0Vvzr7lt3OU09vwQwhkpOPPYv2Y/edit?usp=sharing"",""งบพรบ!DW66"")"),0)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IFERROR(__xludf.DUMMYFUNCTION("IMPORTRANGE(""https://docs.google.com/spreadsheets/d/1eHaY18a8A9IcSdp1K8H6x8fbOy06t2VsZHhMHf-1x7Y/edit?usp=sharing"",""แผน!EE66"")"),0)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IFERROR(__xludf.DUMMYFUNCTION("IMPORTRANGE(""https://docs.google.com/spreadsheets/d/1eHaY18a8A9IcSdp1K8H6x8fbOy06t2VsZHhMHf-1x7Y/edit?usp=sharing"",""แผน!ED66"")"),0)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IFERROR(__xludf.DUMMYFUNCTION("IMPORTRANGE(""https://docs.google.com/spreadsheets/d/1eHaY18a8A9IcSdp1K8H6x8fbOy06t2VsZHhMHf-1x7Y/edit?usp=sharing"",""แผน!ED66"")"),0)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IFERROR(__xludf.DUMMYFUNCTION("IMPORTRANGE(""https://docs.google.com/spreadsheets/d/1eHaY18a8A9IcSdp1K8H6x8fbOy06t2VsZHhMHf-1x7Y/edit?usp=sharing"",""แผน!ED66"")"),0)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25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101000</v>
      </c>
      <c r="M303" s="737">
        <f ca="1">M304+M305</f>
        <v>78500</v>
      </c>
      <c r="N303" s="737">
        <f ca="1">N304+N305</f>
        <v>58885</v>
      </c>
      <c r="O303" s="737">
        <f ca="1">IF(L303&gt;0,N303*100/L303,0)</f>
        <v>58.301980198019805</v>
      </c>
      <c r="P303" s="737">
        <f ca="1">IF(M303&gt;0,N303*100/M303,0)</f>
        <v>75.01273885350318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101000</v>
      </c>
      <c r="M305" s="427">
        <f ca="1">M308+M311</f>
        <v>78500</v>
      </c>
      <c r="N305" s="427">
        <f ca="1">N308+N311</f>
        <v>58885</v>
      </c>
      <c r="O305" s="427">
        <f ca="1">IF(L305&gt;0,N305*100/L305,0)</f>
        <v>58.301980198019805</v>
      </c>
      <c r="P305" s="427">
        <f ca="1">IF(M305&gt;0,N305*100/M305,0)</f>
        <v>75.01273885350318</v>
      </c>
    </row>
    <row r="306" spans="1:16" ht="18.75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101000</v>
      </c>
      <c r="M306" s="427">
        <f ca="1">M307+M308</f>
        <v>78500</v>
      </c>
      <c r="N306" s="427">
        <f ca="1">N307+N308</f>
        <v>58885</v>
      </c>
      <c r="O306" s="427">
        <f ca="1">IF(L306&gt;0,N306*100/L306,0)</f>
        <v>58.301980198019805</v>
      </c>
      <c r="P306" s="427">
        <f ca="1">IF(M306&gt;0,N306*100/M306,0)</f>
        <v>75.01273885350318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IFERROR(__xludf.DUMMYFUNCTION("IMPORTRANGE(""https://docs.google.com/spreadsheets/d/1-uDff_7J0KD5mKrp0Vvzr7lt3OU09vwQwhkpOPPYv2Y/edit?usp=sharing"",""งบพรบ!DY66"")"),101000)</f>
        <v>101000</v>
      </c>
      <c r="M308" s="427">
        <f ca="1">IFERROR(__xludf.DUMMYFUNCTION("IMPORTRANGE(""https://docs.google.com/spreadsheets/d/1-uDff_7J0KD5mKrp0Vvzr7lt3OU09vwQwhkpOPPYv2Y/edit?usp=sharing"",""งบพรบ!ED66"")"),78500)</f>
        <v>78500</v>
      </c>
      <c r="N308" s="427">
        <f ca="1">IFERROR(__xludf.DUMMYFUNCTION("IMPORTRANGE(""https://docs.google.com/spreadsheets/d/1-uDff_7J0KD5mKrp0Vvzr7lt3OU09vwQwhkpOPPYv2Y/edit?usp=sharing"",""งบพรบ!EF66"")"),58885)</f>
        <v>58885</v>
      </c>
      <c r="O308" s="427">
        <f ca="1">IF(L308&gt;0,N308*100/L308,0)</f>
        <v>58.301980198019805</v>
      </c>
      <c r="P308" s="427">
        <f ca="1">IF(M308&gt;0,N308*100/M308,0)</f>
        <v>75.01273885350318</v>
      </c>
    </row>
    <row r="309" spans="1:16" ht="18.75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IFERROR(__xludf.DUMMYFUNCTION("IMPORTRANGE(""https://docs.google.com/spreadsheets/d/1-uDff_7J0KD5mKrp0Vvzr7lt3OU09vwQwhkpOPPYv2Y/edit?usp=sharing"",""งบพรบ!EB66"")"),0)</f>
        <v>0</v>
      </c>
      <c r="M311" s="427">
        <f ca="1">IFERROR(__xludf.DUMMYFUNCTION("IMPORTRANGE(""https://docs.google.com/spreadsheets/d/1-uDff_7J0KD5mKrp0Vvzr7lt3OU09vwQwhkpOPPYv2Y/edit?usp=sharing"",""งบพรบ!EE66"")"),0)</f>
        <v>0</v>
      </c>
      <c r="N311" s="427">
        <f ca="1">IFERROR(__xludf.DUMMYFUNCTION("IMPORTRANGE(""https://docs.google.com/spreadsheets/d/1-uDff_7J0KD5mKrp0Vvzr7lt3OU09vwQwhkpOPPYv2Y/edit?usp=sharing"",""งบพรบ!EG66"")"),0)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IFERROR(__xludf.DUMMYFUNCTION("IMPORTRANGE(""https://docs.google.com/spreadsheets/d/1eHaY18a8A9IcSdp1K8H6x8fbOy06t2VsZHhMHf-1x7Y/edit?usp=sharing"",""แผน!EF66"")"),25)</f>
        <v>25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IFERROR(__xludf.DUMMYFUNCTION("IMPORTRANGE(""https://docs.google.com/spreadsheets/d/1eHaY18a8A9IcSdp1K8H6x8fbOy06t2VsZHhMHf-1x7Y/edit?usp=sharing"",""แผน!EG66"")"),5)</f>
        <v>5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IFERROR(__xludf.DUMMYFUNCTION("IMPORTRANGE(""https://docs.google.com/spreadsheets/d/1eHaY18a8A9IcSdp1K8H6x8fbOy06t2VsZHhMHf-1x7Y/edit?usp=sharing"",""แผน!EH66"")"),25)</f>
        <v>25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x14ac:dyDescent="0.25">
      <c r="A317" s="276"/>
      <c r="B317" s="280"/>
      <c r="C317" s="280"/>
      <c r="D317" s="336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IFERROR(__xludf.DUMMYFUNCTION("IMPORTRANGE(""https://docs.google.com/spreadsheets/d/1eHaY18a8A9IcSdp1K8H6x8fbOy06t2VsZHhMHf-1x7Y/edit?usp=sharing"",""แผน!EI66"")"),5)</f>
        <v>5</v>
      </c>
      <c r="J317" s="196">
        <v>0</v>
      </c>
      <c r="K317" s="61">
        <f ca="1">IF(I317&gt;0,J317*100/I317,0)</f>
        <v>0</v>
      </c>
      <c r="L317" s="58"/>
      <c r="M317" s="58"/>
      <c r="N317" s="58"/>
      <c r="O317" s="58"/>
      <c r="P317" s="58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IFERROR(__xludf.DUMMYFUNCTION("IMPORTRANGE(""https://docs.google.com/spreadsheets/d/1-uDff_7J0KD5mKrp0Vvzr7lt3OU09vwQwhkpOPPYv2Y/edit?usp=sharing"",""งบพรบ!EI66"")"),0)</f>
        <v>0</v>
      </c>
      <c r="M325" s="427">
        <f ca="1">IFERROR(__xludf.DUMMYFUNCTION("IMPORTRANGE(""https://docs.google.com/spreadsheets/d/1-uDff_7J0KD5mKrp0Vvzr7lt3OU09vwQwhkpOPPYv2Y/edit?usp=sharing"",""งบพรบ!EN66"")"),0)</f>
        <v>0</v>
      </c>
      <c r="N325" s="427">
        <f ca="1">IFERROR(__xludf.DUMMYFUNCTION("IMPORTRANGE(""https://docs.google.com/spreadsheets/d/1-uDff_7J0KD5mKrp0Vvzr7lt3OU09vwQwhkpOPPYv2Y/edit?usp=sharing"",""งบพรบ!EP66"")"),0)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IFERROR(__xludf.DUMMYFUNCTION("IMPORTRANGE(""https://docs.google.com/spreadsheets/d/1-uDff_7J0KD5mKrp0Vvzr7lt3OU09vwQwhkpOPPYv2Y/edit?usp=sharing"",""งบพรบ!EL66"")"),0)</f>
        <v>0</v>
      </c>
      <c r="M328" s="427">
        <f ca="1">IFERROR(__xludf.DUMMYFUNCTION("IMPORTRANGE(""https://docs.google.com/spreadsheets/d/1-uDff_7J0KD5mKrp0Vvzr7lt3OU09vwQwhkpOPPYv2Y/edit?usp=sharing"",""งบพรบ!EO66"")"),0)</f>
        <v>0</v>
      </c>
      <c r="N328" s="427">
        <f ca="1">IFERROR(__xludf.DUMMYFUNCTION("IMPORTRANGE(""https://docs.google.com/spreadsheets/d/1-uDff_7J0KD5mKrp0Vvzr7lt3OU09vwQwhkpOPPYv2Y/edit?usp=sharing"",""งบพรบ!EQ66"")"),0)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IFERROR(__xludf.DUMMYFUNCTION("IMPORTRANGE(""https://docs.google.com/spreadsheets/d/1eHaY18a8A9IcSdp1K8H6x8fbOy06t2VsZHhMHf-1x7Y/edit?usp=sharing"",""แผน!EJ66"")"),0)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260</v>
      </c>
      <c r="J332" s="404">
        <f ca="1">J344+J347+J348+J349+J353</f>
        <v>883</v>
      </c>
      <c r="K332" s="405">
        <f ca="1">IF(I332&gt;0,J332*100/I332,0)</f>
        <v>339.61538461538464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150100</v>
      </c>
      <c r="M333" s="737">
        <f ca="1">M334+M335</f>
        <v>115850</v>
      </c>
      <c r="N333" s="737">
        <f ca="1">N334+N335</f>
        <v>57798.11</v>
      </c>
      <c r="O333" s="737">
        <f ca="1">IF(L333&gt;0,N333*100/L333,0)</f>
        <v>38.506402398401065</v>
      </c>
      <c r="P333" s="737">
        <f ca="1">IF(M333&gt;0,N333*100/M333,0)</f>
        <v>49.890470435908504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150100</v>
      </c>
      <c r="M335" s="427">
        <f ca="1">M338+M341</f>
        <v>115850</v>
      </c>
      <c r="N335" s="427">
        <f ca="1">N338+N341</f>
        <v>57798.11</v>
      </c>
      <c r="O335" s="427">
        <f ca="1">IF(L335&gt;0,N335*100/L335,0)</f>
        <v>38.506402398401065</v>
      </c>
      <c r="P335" s="427">
        <f ca="1">IF(M335&gt;0,N335*100/M335,0)</f>
        <v>49.890470435908504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150100</v>
      </c>
      <c r="M336" s="427">
        <f ca="1">M337+M338</f>
        <v>115850</v>
      </c>
      <c r="N336" s="427">
        <f ca="1">N337+N338</f>
        <v>57798.11</v>
      </c>
      <c r="O336" s="427">
        <f ca="1">IF(L336&gt;0,N336*100/L336,0)</f>
        <v>38.506402398401065</v>
      </c>
      <c r="P336" s="427">
        <f ca="1">IF(M336&gt;0,N336*100/M336,0)</f>
        <v>49.890470435908504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IFERROR(__xludf.DUMMYFUNCTION("IMPORTRANGE(""https://docs.google.com/spreadsheets/d/1-uDff_7J0KD5mKrp0Vvzr7lt3OU09vwQwhkpOPPYv2Y/edit?usp=sharing"",""งบพรบ!ES66"")"),150100)</f>
        <v>150100</v>
      </c>
      <c r="M338" s="427">
        <f ca="1">IFERROR(__xludf.DUMMYFUNCTION("IMPORTRANGE(""https://docs.google.com/spreadsheets/d/1-uDff_7J0KD5mKrp0Vvzr7lt3OU09vwQwhkpOPPYv2Y/edit?usp=sharing"",""งบพรบ!EX66"")"),115850)</f>
        <v>115850</v>
      </c>
      <c r="N338" s="427">
        <f ca="1">IFERROR(__xludf.DUMMYFUNCTION("IMPORTRANGE(""https://docs.google.com/spreadsheets/d/1-uDff_7J0KD5mKrp0Vvzr7lt3OU09vwQwhkpOPPYv2Y/edit?usp=sharing"",""งบพรบ!EZ66"")"),57798.11)</f>
        <v>57798.11</v>
      </c>
      <c r="O338" s="427">
        <f ca="1">IF(L338&gt;0,N338*100/L338,0)</f>
        <v>38.506402398401065</v>
      </c>
      <c r="P338" s="427">
        <f ca="1">IF(M338&gt;0,N338*100/M338,0)</f>
        <v>49.890470435908504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IFERROR(__xludf.DUMMYFUNCTION("IMPORTRANGE(""https://docs.google.com/spreadsheets/d/1-uDff_7J0KD5mKrp0Vvzr7lt3OU09vwQwhkpOPPYv2Y/edit?usp=sharing"",""งบพรบ!EV66"")"),0)</f>
        <v>0</v>
      </c>
      <c r="M341" s="427">
        <f ca="1">IFERROR(__xludf.DUMMYFUNCTION("IMPORTRANGE(""https://docs.google.com/spreadsheets/d/1-uDff_7J0KD5mKrp0Vvzr7lt3OU09vwQwhkpOPPYv2Y/edit?usp=sharing"",""งบพรบ!EY66"")"),0)</f>
        <v>0</v>
      </c>
      <c r="N341" s="427">
        <f ca="1">IFERROR(__xludf.DUMMYFUNCTION("IMPORTRANGE(""https://docs.google.com/spreadsheets/d/1-uDff_7J0KD5mKrp0Vvzr7lt3OU09vwQwhkpOPPYv2Y/edit?usp=sharing"",""งบพรบ!FA66"")"),0)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75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IFERROR(__xludf.DUMMYFUNCTION("IMPORTRANGE(""https://docs.google.com/spreadsheets/d/1eHaY18a8A9IcSdp1K8H6x8fbOy06t2VsZHhMHf-1x7Y/edit?usp=sharing"",""แผน!EK66"")"),260)</f>
        <v>260</v>
      </c>
      <c r="J344" s="426">
        <f ca="1">IFERROR(__xludf.DUMMYFUNCTION("IMPORTRANGE(""https://docs.google.com/spreadsheets/d/1awYsYK3VOup2i3Pq_Yjnu8DRu_mYwSBnCR2QPthd0rU/edit?usp=sharing"",""ศูนย์ยกเว้นโฉนด!D66"")"),71)</f>
        <v>71</v>
      </c>
      <c r="K344" s="427">
        <f ca="1">IF(I344&gt;0,J344*100/I344,0)</f>
        <v>27.307692307692307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IFERROR(__xludf.DUMMYFUNCTION("IMPORTRANGE(""https://docs.google.com/spreadsheets/d/1eHaY18a8A9IcSdp1K8H6x8fbOy06t2VsZHhMHf-1x7Y/edit?usp=sharing"",""แผน!EL66"")"),1)</f>
        <v>1</v>
      </c>
      <c r="J346" s="426">
        <f ca="1">IFERROR(__xludf.DUMMYFUNCTION("IMPORTRANGE(""https://docs.google.com/spreadsheets/d/1awYsYK3VOup2i3Pq_Yjnu8DRu_mYwSBnCR2QPthd0rU/edit?usp=sharing"",""ศูนย์รวม!E66"")"),0)</f>
        <v>0</v>
      </c>
      <c r="K346" s="427">
        <f ca="1">IF(I346&gt;0,J346*100/I346,0)</f>
        <v>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IFERROR(__xludf.DUMMYFUNCTION("IMPORTRANGE(""https://docs.google.com/spreadsheets/d/1awYsYK3VOup2i3Pq_Yjnu8DRu_mYwSBnCR2QPthd0rU/edit?usp=sharing"",""ศูนย์ยกเว้นโฉนด!F66"")"),0)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IFERROR(__xludf.DUMMYFUNCTION("IMPORTRANGE(""https://docs.google.com/spreadsheets/d/1awYsYK3VOup2i3Pq_Yjnu8DRu_mYwSBnCR2QPthd0rU/edit?usp=sharing"",""ศูนย์ยกเว้นโฉนด!G66"")"),4)</f>
        <v>4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IFERROR(__xludf.DUMMYFUNCTION("IMPORTRANGE(""https://docs.google.com/spreadsheets/d/1awYsYK3VOup2i3Pq_Yjnu8DRu_mYwSBnCR2QPthd0rU/edit?usp=sharing"",""ศูนย์ยกเว้นโฉนด!H66"")"),0)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824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IFERROR(__xludf.DUMMYFUNCTION("IMPORTRANGE(""https://docs.google.com/spreadsheets/d/1awYsYK3VOup2i3Pq_Yjnu8DRu_mYwSBnCR2QPthd0rU/edit?usp=sharing"",""โฉนดM3!G66"")"),16)</f>
        <v>16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IFERROR(__xludf.DUMMYFUNCTION("IMPORTRANGE(""https://docs.google.com/spreadsheets/d/1awYsYK3VOup2i3Pq_Yjnu8DRu_mYwSBnCR2QPthd0rU/edit?usp=sharing"",""โฉนดM3!H66"")"),808)</f>
        <v>808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386760</v>
      </c>
      <c r="M356" s="737">
        <f ca="1">M357+M358</f>
        <v>296760</v>
      </c>
      <c r="N356" s="737">
        <f ca="1">N357+N358</f>
        <v>100786.5</v>
      </c>
      <c r="O356" s="737">
        <f ca="1">IF(L356&gt;0,N356*100/L356,0)</f>
        <v>26.059183990071361</v>
      </c>
      <c r="P356" s="737">
        <f ca="1">IF(M356&gt;0,N356*100/M356,0)</f>
        <v>33.96229276182774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386760</v>
      </c>
      <c r="M358" s="427">
        <f ca="1">M361+M364</f>
        <v>296760</v>
      </c>
      <c r="N358" s="427">
        <f ca="1">N361+N364</f>
        <v>100786.5</v>
      </c>
      <c r="O358" s="427">
        <f ca="1">IF(L358&gt;0,N358*100/L358,0)</f>
        <v>26.059183990071361</v>
      </c>
      <c r="P358" s="427">
        <f ca="1">IF(M358&gt;0,N358*100/M358,0)</f>
        <v>33.96229276182774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386760</v>
      </c>
      <c r="M359" s="427">
        <f ca="1">M360+M361</f>
        <v>296760</v>
      </c>
      <c r="N359" s="427">
        <f ca="1">N360+N361</f>
        <v>100786.5</v>
      </c>
      <c r="O359" s="427">
        <f ca="1">IF(L359&gt;0,N359*100/L359,0)</f>
        <v>26.059183990071361</v>
      </c>
      <c r="P359" s="427">
        <f ca="1">IF(M359&gt;0,N359*100/M359,0)</f>
        <v>33.96229276182774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IFERROR(__xludf.DUMMYFUNCTION("IMPORTRANGE(""https://docs.google.com/spreadsheets/d/1-uDff_7J0KD5mKrp0Vvzr7lt3OU09vwQwhkpOPPYv2Y/edit?usp=sharing"",""งบพรบ!FC66"")"),386760)</f>
        <v>386760</v>
      </c>
      <c r="M361" s="427">
        <f ca="1">IFERROR(__xludf.DUMMYFUNCTION("IMPORTRANGE(""https://docs.google.com/spreadsheets/d/1-uDff_7J0KD5mKrp0Vvzr7lt3OU09vwQwhkpOPPYv2Y/edit?usp=sharing"",""งบพรบ!FH66"")"),296760)</f>
        <v>296760</v>
      </c>
      <c r="N361" s="427">
        <f ca="1">IFERROR(__xludf.DUMMYFUNCTION("IMPORTRANGE(""https://docs.google.com/spreadsheets/d/1-uDff_7J0KD5mKrp0Vvzr7lt3OU09vwQwhkpOPPYv2Y/edit?usp=sharing"",""งบพรบ!FJ66"")"),100786.5)</f>
        <v>100786.5</v>
      </c>
      <c r="O361" s="427">
        <f ca="1">IF(L361&gt;0,N361*100/L361,0)</f>
        <v>26.059183990071361</v>
      </c>
      <c r="P361" s="427">
        <f ca="1">IF(M361&gt;0,N361*100/M361,0)</f>
        <v>33.96229276182774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IFERROR(__xludf.DUMMYFUNCTION("IMPORTRANGE(""https://docs.google.com/spreadsheets/d/1-uDff_7J0KD5mKrp0Vvzr7lt3OU09vwQwhkpOPPYv2Y/edit?usp=sharing"",""งบพรบ!FF66"")"),0)</f>
        <v>0</v>
      </c>
      <c r="M364" s="427">
        <f ca="1">IFERROR(__xludf.DUMMYFUNCTION("IMPORTRANGE(""https://docs.google.com/spreadsheets/d/1-uDff_7J0KD5mKrp0Vvzr7lt3OU09vwQwhkpOPPYv2Y/edit?usp=sharing"",""งบพรบ!FI66"")"),0)</f>
        <v>0</v>
      </c>
      <c r="N364" s="427">
        <f ca="1">IFERROR(__xludf.DUMMYFUNCTION("IMPORTRANGE(""https://docs.google.com/spreadsheets/d/1-uDff_7J0KD5mKrp0Vvzr7lt3OU09vwQwhkpOPPYv2Y/edit?usp=sharing"",""งบพรบ!FK66"")"),0)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48</v>
      </c>
      <c r="J365" s="440">
        <f ca="1">J371</f>
        <v>1</v>
      </c>
      <c r="K365" s="441">
        <f ca="1">IF(I365&gt;0,J365*100/I365,0)</f>
        <v>2.0833333333333335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IFERROR(__xludf.DUMMYFUNCTION("IMPORTRANGE(""https://docs.google.com/spreadsheets/d/1tdoBKaGub7dwA3U6UFTqxio9LNnvDCQjHKmttSEBsFQ/edit?usp=sharing"",""จัดที่ดิน!AB66"")"),10)</f>
        <v>10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IFERROR(__xludf.DUMMYFUNCTION("IMPORTRANGE(""https://docs.google.com/spreadsheets/d/1eHaY18a8A9IcSdp1K8H6x8fbOy06t2VsZHhMHf-1x7Y/edit?usp=sharing"",""แผน!EW66"")"),460)</f>
        <v>460</v>
      </c>
      <c r="J368" s="726">
        <f ca="1">IFERROR(__xludf.DUMMYFUNCTION("IMPORTRANGE(""https://docs.google.com/spreadsheets/d/1tdoBKaGub7dwA3U6UFTqxio9LNnvDCQjHKmttSEBsFQ/edit?usp=sharing"",""จัดที่ดิน!AC66"")"),84.11)</f>
        <v>84.11</v>
      </c>
      <c r="K368" s="427">
        <f ca="1">IF(I368&gt;0,J368*100/I368,0)</f>
        <v>18.284782608695654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IFERROR(__xludf.DUMMYFUNCTION("IMPORTRANGE(""https://docs.google.com/spreadsheets/d/1eHaY18a8A9IcSdp1K8H6x8fbOy06t2VsZHhMHf-1x7Y/edit?usp=sharing"",""แผน!EX66"")"),65)</f>
        <v>65</v>
      </c>
      <c r="J369" s="426">
        <f ca="1">IFERROR(__xludf.DUMMYFUNCTION("IMPORTRANGE(""https://docs.google.com/spreadsheets/d/1tdoBKaGub7dwA3U6UFTqxio9LNnvDCQjHKmttSEBsFQ/edit?usp=sharing"",""จัดที่ดิน!AD66"")"),67)</f>
        <v>67</v>
      </c>
      <c r="K369" s="427">
        <f ca="1">IF(I369&gt;0,J369*100/I369,0)</f>
        <v>103.07692307692308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IFERROR(__xludf.DUMMYFUNCTION("IMPORTRANGE(""https://docs.google.com/spreadsheets/d/1tdoBKaGub7dwA3U6UFTqxio9LNnvDCQjHKmttSEBsFQ/edit?usp=sharing"",""จัดที่ดิน!AE66"")"),773.75)</f>
        <v>773.75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IFERROR(__xludf.DUMMYFUNCTION("IMPORTRANGE(""https://docs.google.com/spreadsheets/d/1eHaY18a8A9IcSdp1K8H6x8fbOy06t2VsZHhMHf-1x7Y/edit?usp=sharing"",""แผน!EY66"")"),48)</f>
        <v>48</v>
      </c>
      <c r="J371" s="426">
        <f ca="1">IFERROR(__xludf.DUMMYFUNCTION("IMPORTRANGE(""https://docs.google.com/spreadsheets/d/1tdoBKaGub7dwA3U6UFTqxio9LNnvDCQjHKmttSEBsFQ/edit?usp=sharing"",""จัดที่ดิน!AF66"")"),1)</f>
        <v>1</v>
      </c>
      <c r="K371" s="427">
        <f ca="1">IF(I371&gt;0,J371*100/I371,0)</f>
        <v>2.0833333333333335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IFERROR(__xludf.DUMMYFUNCTION("IMPORTRANGE(""https://docs.google.com/spreadsheets/d/1tdoBKaGub7dwA3U6UFTqxio9LNnvDCQjHKmttSEBsFQ/edit?usp=sharing"",""จัดที่ดิน!AG66"")"),49.52)</f>
        <v>49.52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IFERROR(__xludf.DUMMYFUNCTION("IMPORTRANGE(""https://docs.google.com/spreadsheets/d/1-uDff_7J0KD5mKrp0Vvzr7lt3OU09vwQwhkpOPPYv2Y/edit?usp=sharing"",""งบพรบ!FM66"")"),0)</f>
        <v>0</v>
      </c>
      <c r="M382" s="522">
        <f ca="1">IFERROR(__xludf.DUMMYFUNCTION("IMPORTRANGE(""https://docs.google.com/spreadsheets/d/1-uDff_7J0KD5mKrp0Vvzr7lt3OU09vwQwhkpOPPYv2Y/edit?usp=sharing"",""งบพรบ!FR66"")"),0)</f>
        <v>0</v>
      </c>
      <c r="N382" s="522">
        <f ca="1">IFERROR(__xludf.DUMMYFUNCTION("IMPORTRANGE(""https://docs.google.com/spreadsheets/d/1-uDff_7J0KD5mKrp0Vvzr7lt3OU09vwQwhkpOPPYv2Y/edit?usp=sharing"",""งบพรบ!FT66"")"),0)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IFERROR(__xludf.DUMMYFUNCTION("IMPORTRANGE(""https://docs.google.com/spreadsheets/d/1-uDff_7J0KD5mKrp0Vvzr7lt3OU09vwQwhkpOPPYv2Y/edit?usp=sharing"",""งบพรบ!FP66"")"),0)</f>
        <v>0</v>
      </c>
      <c r="M385" s="522">
        <f ca="1">IFERROR(__xludf.DUMMYFUNCTION("IMPORTRANGE(""https://docs.google.com/spreadsheets/d/1-uDff_7J0KD5mKrp0Vvzr7lt3OU09vwQwhkpOPPYv2Y/edit?usp=sharing"",""งบพรบ!FS66"")"),0)</f>
        <v>0</v>
      </c>
      <c r="N385" s="522">
        <f ca="1">IFERROR(__xludf.DUMMYFUNCTION("IMPORTRANGE(""https://docs.google.com/spreadsheets/d/1-uDff_7J0KD5mKrp0Vvzr7lt3OU09vwQwhkpOPPYv2Y/edit?usp=sharing"",""งบพรบ!FU66"")"),0)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25BA-2375-46F2-BAF4-C6548F849BE3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179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1542175</v>
      </c>
      <c r="M18" s="865">
        <f ca="1">M19+M20</f>
        <v>1241375</v>
      </c>
      <c r="N18" s="865">
        <f ca="1">N19+N20</f>
        <v>599963.67000000004</v>
      </c>
      <c r="O18" s="865">
        <f ca="1">IF(L18&gt;0,N18*100/L18,0)</f>
        <v>38.903734660463314</v>
      </c>
      <c r="P18" s="865">
        <f ca="1">IF(M18&gt;0,N18*100/M18,0)</f>
        <v>48.330574564495024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1542175</v>
      </c>
      <c r="M20" s="972">
        <f ca="1">M23+M26</f>
        <v>1241375</v>
      </c>
      <c r="N20" s="972">
        <f ca="1">N23+N26</f>
        <v>599963.67000000004</v>
      </c>
      <c r="O20" s="972">
        <f ca="1">IF(L20&gt;0,N20*100/L20,0)</f>
        <v>38.903734660463314</v>
      </c>
      <c r="P20" s="972">
        <f ca="1">IF(M20&gt;0,N20*100/M20,0)</f>
        <v>48.330574564495024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1542175</v>
      </c>
      <c r="M21" s="427">
        <f ca="1">M22+M23</f>
        <v>1241375</v>
      </c>
      <c r="N21" s="427">
        <f ca="1">N22+N23</f>
        <v>599963.67000000004</v>
      </c>
      <c r="O21" s="427">
        <f ca="1">IF(L21&gt;0,N21*100/L21,0)</f>
        <v>38.903734660463314</v>
      </c>
      <c r="P21" s="427">
        <f ca="1">IF(M21&gt;0,N21*100/M21,0)</f>
        <v>48.330574564495024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1542175</v>
      </c>
      <c r="M23" s="427">
        <f ca="1">M49+M64+M77+M99+M130+M144+M162+M191+M178+M271+M287+M308+M325+M338+M361+M382</f>
        <v>1241375</v>
      </c>
      <c r="N23" s="427">
        <f ca="1">N49+N64+N77+N99+N130+N144+N162+N191+N178+N271+N287+N308+N325+N338+N361+N382</f>
        <v>599963.67000000004</v>
      </c>
      <c r="O23" s="427">
        <f ca="1">IF(L23&gt;0,N23*100/L23,0)</f>
        <v>38.903734660463314</v>
      </c>
      <c r="P23" s="427">
        <f ca="1">IF(M23&gt;0,N23*100/M23,0)</f>
        <v>48.330574564495024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1542175</v>
      </c>
      <c r="M40" s="964">
        <f ca="1">M44+M59+M72+M94+M125+M139+M157+M173+M186+M266+M282+M303+M320+M333+M356</f>
        <v>1241375</v>
      </c>
      <c r="N40" s="964">
        <f ca="1">N44+N59+N72+N94+N125+N139+N157+N173+N186+N266+N282+N303+N320+N333+N356</f>
        <v>599963.67000000004</v>
      </c>
      <c r="O40" s="964">
        <f ca="1">IF(L40&gt;0,N40*100/L40,0)</f>
        <v>38.903734660463314</v>
      </c>
      <c r="P40" s="964">
        <f ca="1">IF(M40&gt;0,N40*100/M40,0)</f>
        <v>48.330574564495024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235300</v>
      </c>
      <c r="M44" s="949">
        <f ca="1">M45+M46</f>
        <v>239800</v>
      </c>
      <c r="N44" s="949">
        <f ca="1">N45+N46</f>
        <v>125700</v>
      </c>
      <c r="O44" s="949">
        <f ca="1">IF(L44&gt;0,N44*100/L44,0)</f>
        <v>53.421164470888229</v>
      </c>
      <c r="P44" s="949">
        <f ca="1">IF(M44&gt;0,N44*100/M44,0)</f>
        <v>52.418682235195995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235300</v>
      </c>
      <c r="M46" s="941">
        <f ca="1">M49+M52</f>
        <v>239800</v>
      </c>
      <c r="N46" s="941">
        <f ca="1">N49+N52</f>
        <v>125700</v>
      </c>
      <c r="O46" s="941">
        <f ca="1">IF(L46&gt;0,N46*100/L46,0)</f>
        <v>53.421164470888229</v>
      </c>
      <c r="P46" s="941">
        <f ca="1">IF(M46&gt;0,N46*100/M46,0)</f>
        <v>52.418682235195995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235300</v>
      </c>
      <c r="M47" s="427">
        <f ca="1">M48+M49</f>
        <v>239800</v>
      </c>
      <c r="N47" s="427">
        <f ca="1">N48+N49</f>
        <v>125700</v>
      </c>
      <c r="O47" s="427">
        <f ca="1">IF(L47&gt;0,N47*100/L47,0)</f>
        <v>53.421164470888229</v>
      </c>
      <c r="P47" s="427">
        <f ca="1">IF(M47&gt;0,N47*100/M47,0)</f>
        <v>52.418682235195995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IFERROR(__xludf.DUMMYFUNCTION("IMPORTRANGE(""https://docs.google.com/spreadsheets/d/1-uDff_7J0KD5mKrp0Vvzr7lt3OU09vwQwhkpOPPYv2Y/edit?usp=sharing"",""งบพรบ!P67"")"),235300)</f>
        <v>235300</v>
      </c>
      <c r="M49" s="427">
        <f ca="1">IFERROR(__xludf.DUMMYFUNCTION("IMPORTRANGE(""https://docs.google.com/spreadsheets/d/1-uDff_7J0KD5mKrp0Vvzr7lt3OU09vwQwhkpOPPYv2Y/edit?usp=sharing"",""งบพรบ!V67"")"),239800)</f>
        <v>239800</v>
      </c>
      <c r="N49" s="427">
        <f ca="1">IFERROR(__xludf.DUMMYFUNCTION("IMPORTRANGE(""https://docs.google.com/spreadsheets/d/1-uDff_7J0KD5mKrp0Vvzr7lt3OU09vwQwhkpOPPYv2Y/edit?usp=sharing"",""งบพรบ!Y67"")"),125700)</f>
        <v>125700</v>
      </c>
      <c r="O49" s="427">
        <f ca="1">IF(L49&gt;0,N49*100/L49,0)</f>
        <v>53.421164470888229</v>
      </c>
      <c r="P49" s="427">
        <f ca="1">IF(M49&gt;0,N49*100/M49,0)</f>
        <v>52.418682235195995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IFERROR(__xludf.DUMMYFUNCTION("IMPORTRANGE(""https://docs.google.com/spreadsheets/d/1-uDff_7J0KD5mKrp0Vvzr7lt3OU09vwQwhkpOPPYv2Y/edit?usp=sharing"",""งบพรบ!S67"")"),0)</f>
        <v>0</v>
      </c>
      <c r="M52" s="427">
        <f ca="1">IFERROR(__xludf.DUMMYFUNCTION("IMPORTRANGE(""https://docs.google.com/spreadsheets/d/1-uDff_7J0KD5mKrp0Vvzr7lt3OU09vwQwhkpOPPYv2Y/edit?usp=sharing"",""งบพรบ!W67"")"),0)</f>
        <v>0</v>
      </c>
      <c r="N52" s="427">
        <f ca="1">IFERROR(__xludf.DUMMYFUNCTION("IMPORTRANGE(""https://docs.google.com/spreadsheets/d/1-uDff_7J0KD5mKrp0Vvzr7lt3OU09vwQwhkpOPPYv2Y/edit?usp=sharing"",""งบพรบ!Z67"")"),0)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412600</v>
      </c>
      <c r="M59" s="921">
        <f ca="1">M60+M61</f>
        <v>311450</v>
      </c>
      <c r="N59" s="921">
        <f ca="1">N60+N61</f>
        <v>247483.67</v>
      </c>
      <c r="O59" s="921">
        <f ca="1">IF(L59&gt;0,N59*100/L59,0)</f>
        <v>59.981500242365485</v>
      </c>
      <c r="P59" s="921">
        <f ca="1">IF(M59&gt;0,N59*100/M59,0)</f>
        <v>79.461765933536682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412600</v>
      </c>
      <c r="M61" s="913">
        <f ca="1">M64+M67</f>
        <v>311450</v>
      </c>
      <c r="N61" s="913">
        <f ca="1">N64+N67</f>
        <v>247483.67</v>
      </c>
      <c r="O61" s="913">
        <f ca="1">IF(L61&gt;0,N61*100/L61,0)</f>
        <v>59.981500242365485</v>
      </c>
      <c r="P61" s="913">
        <f ca="1">IF(M61&gt;0,N61*100/M61,0)</f>
        <v>79.461765933536682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412600</v>
      </c>
      <c r="M62" s="427">
        <f ca="1">M63+M64</f>
        <v>311450</v>
      </c>
      <c r="N62" s="427">
        <f ca="1">N63+N64</f>
        <v>247483.67</v>
      </c>
      <c r="O62" s="427">
        <f ca="1">IF(L62&gt;0,N62*100/L62,0)</f>
        <v>59.981500242365485</v>
      </c>
      <c r="P62" s="427">
        <f ca="1">IF(M62&gt;0,N62*100/M62,0)</f>
        <v>79.461765933536682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IFERROR(__xludf.DUMMYFUNCTION("IMPORTRANGE(""https://docs.google.com/spreadsheets/d/1-uDff_7J0KD5mKrp0Vvzr7lt3OU09vwQwhkpOPPYv2Y/edit?usp=sharing"",""งบพรบ!AC67"")"),412600)</f>
        <v>412600</v>
      </c>
      <c r="M64" s="427">
        <f ca="1">IFERROR(__xludf.DUMMYFUNCTION("IMPORTRANGE(""https://docs.google.com/spreadsheets/d/1-uDff_7J0KD5mKrp0Vvzr7lt3OU09vwQwhkpOPPYv2Y/edit?usp=sharing"",""งบพรบ!AH67"")"),311450)</f>
        <v>311450</v>
      </c>
      <c r="N64" s="427">
        <f ca="1">IFERROR(__xludf.DUMMYFUNCTION("IMPORTRANGE(""https://docs.google.com/spreadsheets/d/1-uDff_7J0KD5mKrp0Vvzr7lt3OU09vwQwhkpOPPYv2Y/edit?usp=sharing"",""งบพรบ!AJ67"")"),247483.67)</f>
        <v>247483.67</v>
      </c>
      <c r="O64" s="427">
        <f ca="1">IF(L64&gt;0,N64*100/L64,0)</f>
        <v>59.981500242365485</v>
      </c>
      <c r="P64" s="427">
        <f ca="1">IF(M64&gt;0,N64*100/M64,0)</f>
        <v>79.461765933536682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IFERROR(__xludf.DUMMYFUNCTION("IMPORTRANGE(""https://docs.google.com/spreadsheets/d/1-uDff_7J0KD5mKrp0Vvzr7lt3OU09vwQwhkpOPPYv2Y/edit?usp=sharing"",""งบพรบ!AF67"")"),0)</f>
        <v>0</v>
      </c>
      <c r="M67" s="644">
        <f ca="1">IFERROR(__xludf.DUMMYFUNCTION("IMPORTRANGE(""https://docs.google.com/spreadsheets/d/1-uDff_7J0KD5mKrp0Vvzr7lt3OU09vwQwhkpOPPYv2Y/edit?usp=sharing"",""งบพรบ!AI67"")"),0)</f>
        <v>0</v>
      </c>
      <c r="N67" s="644">
        <f ca="1">IFERROR(__xludf.DUMMYFUNCTION("IMPORTRANGE(""https://docs.google.com/spreadsheets/d/1-uDff_7J0KD5mKrp0Vvzr7lt3OU09vwQwhkpOPPYv2Y/edit?usp=sharing"",""งบพรบ!AK67"")"),0)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IFERROR(__xludf.DUMMYFUNCTION("IMPORTRANGE(""https://docs.google.com/spreadsheets/d/1-uDff_7J0KD5mKrp0Vvzr7lt3OU09vwQwhkpOPPYv2Y/edit?usp=sharing"",""งบพรบ!AM67"")"),0)</f>
        <v>0</v>
      </c>
      <c r="M77" s="427">
        <f ca="1">IFERROR(__xludf.DUMMYFUNCTION("IMPORTRANGE(""https://docs.google.com/spreadsheets/d/1-uDff_7J0KD5mKrp0Vvzr7lt3OU09vwQwhkpOPPYv2Y/edit?usp=sharing"",""งบพรบ!AR67"")"),0)</f>
        <v>0</v>
      </c>
      <c r="N77" s="427">
        <f ca="1">IFERROR(__xludf.DUMMYFUNCTION("IMPORTRANGE(""https://docs.google.com/spreadsheets/d/1-uDff_7J0KD5mKrp0Vvzr7lt3OU09vwQwhkpOPPYv2Y/edit?usp=sharing"",""งบพรบ!AT67"")"),0)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IFERROR(__xludf.DUMMYFUNCTION("IMPORTRANGE(""https://docs.google.com/spreadsheets/d/1-uDff_7J0KD5mKrp0Vvzr7lt3OU09vwQwhkpOPPYv2Y/edit?usp=sharing"",""งบพรบ!AP67"")"),0)</f>
        <v>0</v>
      </c>
      <c r="M80" s="427">
        <f ca="1">IFERROR(__xludf.DUMMYFUNCTION("IMPORTRANGE(""https://docs.google.com/spreadsheets/d/1-uDff_7J0KD5mKrp0Vvzr7lt3OU09vwQwhkpOPPYv2Y/edit?usp=sharing"",""งบพรบ!AS67"")"),0)</f>
        <v>0</v>
      </c>
      <c r="N80" s="427">
        <f ca="1">IFERROR(__xludf.DUMMYFUNCTION("IMPORTRANGE(""https://docs.google.com/spreadsheets/d/1-uDff_7J0KD5mKrp0Vvzr7lt3OU09vwQwhkpOPPYv2Y/edit?usp=sharing"",""งบพรบ!AU67"")"),0)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IFERROR(__xludf.DUMMYFUNCTION("IMPORTRANGE(""https://docs.google.com/spreadsheets/d/1eHaY18a8A9IcSdp1K8H6x8fbOy06t2VsZHhMHf-1x7Y/edit?usp=sharing"",""แผน!H67"")"),0)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IFERROR(__xludf.DUMMYFUNCTION("IMPORTRANGE(""https://docs.google.com/spreadsheets/d/1eHaY18a8A9IcSdp1K8H6x8fbOy06t2VsZHhMHf-1x7Y/edit?usp=sharing"",""แผน!I67"")"),0)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IFERROR(__xludf.DUMMYFUNCTION("IMPORTRANGE(""https://docs.google.com/spreadsheets/d/1eHaY18a8A9IcSdp1K8H6x8fbOy06t2VsZHhMHf-1x7Y/edit?usp=sharing"",""แผน!F67"")"),0)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IFERROR(__xludf.DUMMYFUNCTION("IMPORTRANGE(""https://docs.google.com/spreadsheets/d/1eHaY18a8A9IcSdp1K8H6x8fbOy06t2VsZHhMHf-1x7Y/edit?usp=sharing"",""แผน!G67"")"),0)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IFERROR(__xludf.DUMMYFUNCTION("IMPORTRANGE(""https://docs.google.com/spreadsheets/d/1eHaY18a8A9IcSdp1K8H6x8fbOy06t2VsZHhMHf-1x7Y/edit?usp=sharing"",""แผน!D67"")"),0)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IFERROR(__xludf.DUMMYFUNCTION("IMPORTRANGE(""https://docs.google.com/spreadsheets/d/1eHaY18a8A9IcSdp1K8H6x8fbOy06t2VsZHhMHf-1x7Y/edit?usp=sharing"",""แผน!E67"")"),0)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IFERROR(__xludf.DUMMYFUNCTION("IMPORTRANGE(""https://docs.google.com/spreadsheets/d/1eHaY18a8A9IcSdp1K8H6x8fbOy06t2VsZHhMHf-1x7Y/edit?usp=sharing"",""แผน!J67"")"),0)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IFERROR(__xludf.DUMMYFUNCTION("IMPORTRANGE(""https://docs.google.com/spreadsheets/d/1-uDff_7J0KD5mKrp0Vvzr7lt3OU09vwQwhkpOPPYv2Y/edit?usp=sharing"",""งบพรบ!AW67"")"),0)</f>
        <v>0</v>
      </c>
      <c r="M99" s="427">
        <f ca="1">IFERROR(__xludf.DUMMYFUNCTION("IMPORTRANGE(""https://docs.google.com/spreadsheets/d/1-uDff_7J0KD5mKrp0Vvzr7lt3OU09vwQwhkpOPPYv2Y/edit?usp=sharing"",""งบพรบ!BB67"")"),0)</f>
        <v>0</v>
      </c>
      <c r="N99" s="427">
        <f ca="1">IFERROR(__xludf.DUMMYFUNCTION("IMPORTRANGE(""https://docs.google.com/spreadsheets/d/1-uDff_7J0KD5mKrp0Vvzr7lt3OU09vwQwhkpOPPYv2Y/edit?usp=sharing"",""งบพรบ!BD67"")"),0)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IFERROR(__xludf.DUMMYFUNCTION("IMPORTRANGE(""https://docs.google.com/spreadsheets/d/1-uDff_7J0KD5mKrp0Vvzr7lt3OU09vwQwhkpOPPYv2Y/edit?usp=sharing"",""งบพรบ!AZ67"")"),0)</f>
        <v>0</v>
      </c>
      <c r="M102" s="427">
        <f ca="1">IFERROR(__xludf.DUMMYFUNCTION("IMPORTRANGE(""https://docs.google.com/spreadsheets/d/1-uDff_7J0KD5mKrp0Vvzr7lt3OU09vwQwhkpOPPYv2Y/edit?usp=sharing"",""งบพรบ!BC67"")"),0)</f>
        <v>0</v>
      </c>
      <c r="N102" s="427">
        <f ca="1">IFERROR(__xludf.DUMMYFUNCTION("IMPORTRANGE(""https://docs.google.com/spreadsheets/d/1-uDff_7J0KD5mKrp0Vvzr7lt3OU09vwQwhkpOPPYv2Y/edit?usp=sharing"",""งบพรบ!BE67"")"),0)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IFERROR(__xludf.DUMMYFUNCTION("IMPORTRANGE(""https://docs.google.com/spreadsheets/d/1eHaY18a8A9IcSdp1K8H6x8fbOy06t2VsZHhMHf-1x7Y/edit?usp=sharing"",""แผน!N67"")"),0)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IFERROR(__xludf.DUMMYFUNCTION("IMPORTRANGE(""https://docs.google.com/spreadsheets/d/1eHaY18a8A9IcSdp1K8H6x8fbOy06t2VsZHhMHf-1x7Y/edit?usp=sharing"",""แผน!O67"")"),0)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IFERROR(__xludf.DUMMYFUNCTION("IMPORTRANGE(""https://docs.google.com/spreadsheets/d/1eHaY18a8A9IcSdp1K8H6x8fbOy06t2VsZHhMHf-1x7Y/edit?usp=sharing"",""แผน!R67"")"),0)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IFERROR(__xludf.DUMMYFUNCTION("IMPORTRANGE(""https://docs.google.com/spreadsheets/d/1-uDff_7J0KD5mKrp0Vvzr7lt3OU09vwQwhkpOPPYv2Y/edit?usp=sharing"",""งบพรบ!BG67"")"),0)</f>
        <v>0</v>
      </c>
      <c r="M130" s="886">
        <f ca="1">IFERROR(__xludf.DUMMYFUNCTION("IMPORTRANGE(""https://docs.google.com/spreadsheets/d/1-uDff_7J0KD5mKrp0Vvzr7lt3OU09vwQwhkpOPPYv2Y/edit?usp=sharing"",""งบพรบ!BL67"")"),0)</f>
        <v>0</v>
      </c>
      <c r="N130" s="886">
        <f ca="1">IFERROR(__xludf.DUMMYFUNCTION("IMPORTRANGE(""https://docs.google.com/spreadsheets/d/1-uDff_7J0KD5mKrp0Vvzr7lt3OU09vwQwhkpOPPYv2Y/edit?usp=sharing"",""งบพรบ!BN67"")"),0)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IFERROR(__xludf.DUMMYFUNCTION("IMPORTRANGE(""https://docs.google.com/spreadsheets/d/1-uDff_7J0KD5mKrp0Vvzr7lt3OU09vwQwhkpOPPYv2Y/edit?usp=sharing"",""งบพรบ!BJ67"")"),0)</f>
        <v>0</v>
      </c>
      <c r="M133" s="886">
        <f ca="1">IFERROR(__xludf.DUMMYFUNCTION("IMPORTRANGE(""https://docs.google.com/spreadsheets/d/1-uDff_7J0KD5mKrp0Vvzr7lt3OU09vwQwhkpOPPYv2Y/edit?usp=sharing"",""งบพรบ!BM67"")"),0)</f>
        <v>0</v>
      </c>
      <c r="N133" s="886">
        <f ca="1">IFERROR(__xludf.DUMMYFUNCTION("IMPORTRANGE(""https://docs.google.com/spreadsheets/d/1-uDff_7J0KD5mKrp0Vvzr7lt3OU09vwQwhkpOPPYv2Y/edit?usp=sharing"",""งบพรบ!BO67"")"),0)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1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30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3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135400</v>
      </c>
      <c r="M139" s="737">
        <f ca="1">M140+M141</f>
        <v>108700</v>
      </c>
      <c r="N139" s="737">
        <f ca="1">N140+N141</f>
        <v>13105</v>
      </c>
      <c r="O139" s="737">
        <f ca="1">IF(L139&gt;0,N139*100/L139,0)</f>
        <v>9.6787296898079767</v>
      </c>
      <c r="P139" s="737">
        <f ca="1">IF(M139&gt;0,N139*100/M139,0)</f>
        <v>12.056117755289788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135400</v>
      </c>
      <c r="M141" s="427">
        <f ca="1">M144+M147</f>
        <v>108700</v>
      </c>
      <c r="N141" s="427">
        <f ca="1">N144+N147</f>
        <v>13105</v>
      </c>
      <c r="O141" s="427">
        <f ca="1">IF(L141&gt;0,N141*100/L141,0)</f>
        <v>9.6787296898079767</v>
      </c>
      <c r="P141" s="427">
        <f ca="1">IF(M141&gt;0,N141*100/M141,0)</f>
        <v>12.056117755289788</v>
      </c>
    </row>
    <row r="142" spans="1:16" ht="18.75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135400</v>
      </c>
      <c r="M142" s="427">
        <f ca="1">M143+M144</f>
        <v>108700</v>
      </c>
      <c r="N142" s="427">
        <f ca="1">N143+N144</f>
        <v>13105</v>
      </c>
      <c r="O142" s="427">
        <f ca="1">IF(L142&gt;0,N142*100/L142,0)</f>
        <v>9.6787296898079767</v>
      </c>
      <c r="P142" s="427">
        <f ca="1">IF(M142&gt;0,N142*100/M142,0)</f>
        <v>12.056117755289788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IFERROR(__xludf.DUMMYFUNCTION("IMPORTRANGE(""https://docs.google.com/spreadsheets/d/1-uDff_7J0KD5mKrp0Vvzr7lt3OU09vwQwhkpOPPYv2Y/edit?usp=sharing"",""งบพรบ!BQ67"")"),135400)</f>
        <v>135400</v>
      </c>
      <c r="M144" s="427">
        <f ca="1">IFERROR(__xludf.DUMMYFUNCTION("IMPORTRANGE(""https://docs.google.com/spreadsheets/d/1-uDff_7J0KD5mKrp0Vvzr7lt3OU09vwQwhkpOPPYv2Y/edit?usp=sharing"",""งบพรบ!BV67"")"),108700)</f>
        <v>108700</v>
      </c>
      <c r="N144" s="427">
        <f ca="1">IFERROR(__xludf.DUMMYFUNCTION("IMPORTRANGE(""https://docs.google.com/spreadsheets/d/1-uDff_7J0KD5mKrp0Vvzr7lt3OU09vwQwhkpOPPYv2Y/edit?usp=sharing"",""งบพรบ!BX67"")"),13105)</f>
        <v>13105</v>
      </c>
      <c r="O144" s="427">
        <f ca="1">IF(L144&gt;0,N144*100/L144,0)</f>
        <v>9.6787296898079767</v>
      </c>
      <c r="P144" s="427">
        <f ca="1">IF(M144&gt;0,N144*100/M144,0)</f>
        <v>12.056117755289788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IFERROR(__xludf.DUMMYFUNCTION("IMPORTRANGE(""https://docs.google.com/spreadsheets/d/1-uDff_7J0KD5mKrp0Vvzr7lt3OU09vwQwhkpOPPYv2Y/edit?usp=sharing"",""งบพรบ!BT67"")"),0)</f>
        <v>0</v>
      </c>
      <c r="M147" s="427">
        <f ca="1">IFERROR(__xludf.DUMMYFUNCTION("IMPORTRANGE(""https://docs.google.com/spreadsheets/d/1-uDff_7J0KD5mKrp0Vvzr7lt3OU09vwQwhkpOPPYv2Y/edit?usp=sharing"",""งบพรบ!BW67"")"),0)</f>
        <v>0</v>
      </c>
      <c r="N147" s="427">
        <f ca="1">IFERROR(__xludf.DUMMYFUNCTION("IMPORTRANGE(""https://docs.google.com/spreadsheets/d/1-uDff_7J0KD5mKrp0Vvzr7lt3OU09vwQwhkpOPPYv2Y/edit?usp=sharing"",""งบพรบ!BY67"")"),0)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IFERROR(__xludf.DUMMYFUNCTION("IMPORTRANGE(""https://docs.google.com/spreadsheets/d/1eHaY18a8A9IcSdp1K8H6x8fbOy06t2VsZHhMHf-1x7Y/edit?usp=sharing"",""แผน!U67"")"),10)</f>
        <v>10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IFERROR(__xludf.DUMMYFUNCTION("IMPORTRANGE(""https://docs.google.com/spreadsheets/d/1eHaY18a8A9IcSdp1K8H6x8fbOy06t2VsZHhMHf-1x7Y/edit?usp=sharing"",""แผน!V67"")"),1)</f>
        <v>1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IFERROR(__xludf.DUMMYFUNCTION("IMPORTRANGE(""https://docs.google.com/spreadsheets/d/1eHaY18a8A9IcSdp1K8H6x8fbOy06t2VsZHhMHf-1x7Y/edit?usp=sharing"",""แผน!W67"")"),30)</f>
        <v>30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IFERROR(__xludf.DUMMYFUNCTION("IMPORTRANGE(""https://docs.google.com/spreadsheets/d/1eHaY18a8A9IcSdp1K8H6x8fbOy06t2VsZHhMHf-1x7Y/edit?usp=sharing"",""แผน!X67"")"),3)</f>
        <v>3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IFERROR(__xludf.DUMMYFUNCTION("IMPORTRANGE(""https://docs.google.com/spreadsheets/d/1eHaY18a8A9IcSdp1K8H6x8fbOy06t2VsZHhMHf-1x7Y/edit?usp=sharing"",""แผน!Y67"")"),1)</f>
        <v>1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IFERROR(__xludf.DUMMYFUNCTION("IMPORTRANGE(""https://docs.google.com/spreadsheets/d/1-uDff_7J0KD5mKrp0Vvzr7lt3OU09vwQwhkpOPPYv2Y/edit?usp=sharing"",""งบพรบ!CA67"")"),3000)</f>
        <v>3000</v>
      </c>
      <c r="M162" s="427">
        <f ca="1">IFERROR(__xludf.DUMMYFUNCTION("IMPORTRANGE(""https://docs.google.com/spreadsheets/d/1-uDff_7J0KD5mKrp0Vvzr7lt3OU09vwQwhkpOPPYv2Y/edit?usp=sharing"",""งบพรบ!CF67"")"),0)</f>
        <v>0</v>
      </c>
      <c r="N162" s="427">
        <f ca="1">IFERROR(__xludf.DUMMYFUNCTION("IMPORTRANGE(""https://docs.google.com/spreadsheets/d/1-uDff_7J0KD5mKrp0Vvzr7lt3OU09vwQwhkpOPPYv2Y/edit?usp=sharing"",""งบพรบ!CH67"")"),0)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IFERROR(__xludf.DUMMYFUNCTION("IMPORTRANGE(""https://docs.google.com/spreadsheets/d/1-uDff_7J0KD5mKrp0Vvzr7lt3OU09vwQwhkpOPPYv2Y/edit?usp=sharing"",""งบพรบ!CD67"")"),0)</f>
        <v>0</v>
      </c>
      <c r="M165" s="427">
        <f ca="1">IFERROR(__xludf.DUMMYFUNCTION("IMPORTRANGE(""https://docs.google.com/spreadsheets/d/1-uDff_7J0KD5mKrp0Vvzr7lt3OU09vwQwhkpOPPYv2Y/edit?usp=sharing"",""งบพรบ!CG67"")"),0)</f>
        <v>0</v>
      </c>
      <c r="N165" s="427">
        <f ca="1">IFERROR(__xludf.DUMMYFUNCTION("IMPORTRANGE(""https://docs.google.com/spreadsheets/d/1-uDff_7J0KD5mKrp0Vvzr7lt3OU09vwQwhkpOPPYv2Y/edit?usp=sharing"",""งบพรบ!CI67"")"),0)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IFERROR(__xludf.DUMMYFUNCTION("IMPORTRANGE(""https://docs.google.com/spreadsheets/d/1eHaY18a8A9IcSdp1K8H6x8fbOy06t2VsZHhMHf-1x7Y/edit?usp=sharing"",""แผน!Z67"")"),10)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240</v>
      </c>
      <c r="O173" s="737">
        <f ca="1">IF(L173&gt;0,N173*100/L173,0)</f>
        <v>1.2251148545176109</v>
      </c>
      <c r="P173" s="737">
        <f ca="1">IF(M173&gt;0,N173*100/M173,0)</f>
        <v>1.2251148545176109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240</v>
      </c>
      <c r="O175" s="427">
        <f ca="1">IF(L175&gt;0,N175*100/L175,0)</f>
        <v>1.2251148545176109</v>
      </c>
      <c r="P175" s="427">
        <f ca="1">IF(M175&gt;0,N175*100/M175,0)</f>
        <v>1.2251148545176109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240</v>
      </c>
      <c r="O176" s="427">
        <f ca="1">IF(L176&gt;0,N176*100/L176,0)</f>
        <v>1.2251148545176109</v>
      </c>
      <c r="P176" s="427">
        <f ca="1">IF(M176&gt;0,N176*100/M176,0)</f>
        <v>1.2251148545176109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IFERROR(__xludf.DUMMYFUNCTION("IMPORTRANGE(""https://docs.google.com/spreadsheets/d/1-uDff_7J0KD5mKrp0Vvzr7lt3OU09vwQwhkpOPPYv2Y/edit?usp=sharing"",""งบพรบ!CK67"")"),19590)</f>
        <v>19590</v>
      </c>
      <c r="M178" s="427">
        <f ca="1">IFERROR(__xludf.DUMMYFUNCTION("IMPORTRANGE(""https://docs.google.com/spreadsheets/d/1-uDff_7J0KD5mKrp0Vvzr7lt3OU09vwQwhkpOPPYv2Y/edit?usp=sharing"",""งบพรบ!CP67"")"),19590)</f>
        <v>19590</v>
      </c>
      <c r="N178" s="427">
        <f ca="1">IFERROR(__xludf.DUMMYFUNCTION("IMPORTRANGE(""https://docs.google.com/spreadsheets/d/1-uDff_7J0KD5mKrp0Vvzr7lt3OU09vwQwhkpOPPYv2Y/edit?usp=sharing"",""งบพรบ!CR67"")"),240)</f>
        <v>240</v>
      </c>
      <c r="O178" s="427">
        <f ca="1">IF(L178&gt;0,N178*100/L178,0)</f>
        <v>1.2251148545176109</v>
      </c>
      <c r="P178" s="427">
        <f ca="1">IF(M178&gt;0,N178*100/M178,0)</f>
        <v>1.2251148545176109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IFERROR(__xludf.DUMMYFUNCTION("IMPORTRANGE(""https://docs.google.com/spreadsheets/d/1-uDff_7J0KD5mKrp0Vvzr7lt3OU09vwQwhkpOPPYv2Y/edit?usp=sharing"",""งบพรบ!CN67"")"),0)</f>
        <v>0</v>
      </c>
      <c r="M181" s="427">
        <f ca="1">IFERROR(__xludf.DUMMYFUNCTION("IMPORTRANGE(""https://docs.google.com/spreadsheets/d/1-uDff_7J0KD5mKrp0Vvzr7lt3OU09vwQwhkpOPPYv2Y/edit?usp=sharing"",""งบพรบ!CQ67"")"),0)</f>
        <v>0</v>
      </c>
      <c r="N181" s="427">
        <f ca="1">IFERROR(__xludf.DUMMYFUNCTION("IMPORTRANGE(""https://docs.google.com/spreadsheets/d/1-uDff_7J0KD5mKrp0Vvzr7lt3OU09vwQwhkpOPPYv2Y/edit?usp=sharing"",""งบพรบ!CS67"")"),0)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IFERROR(__xludf.DUMMYFUNCTION("IMPORTRANGE(""https://docs.google.com/spreadsheets/d/1eHaY18a8A9IcSdp1K8H6x8fbOy06t2VsZHhMHf-1x7Y/edit?usp=sharing"",""แผน!AA67"")"),7)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36500</v>
      </c>
      <c r="M186" s="737">
        <f ca="1">M187+M188</f>
        <v>22500</v>
      </c>
      <c r="N186" s="737">
        <f ca="1">N187+N188</f>
        <v>350</v>
      </c>
      <c r="O186" s="737">
        <f ca="1">IF(L186&gt;0,N186*100/L186,0)</f>
        <v>0.95890410958904104</v>
      </c>
      <c r="P186" s="737">
        <f ca="1">IF(M186&gt;0,N186*100/M186,0)</f>
        <v>1.5555555555555556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36500</v>
      </c>
      <c r="M188" s="427">
        <f ca="1">M191+M194</f>
        <v>22500</v>
      </c>
      <c r="N188" s="427">
        <f ca="1">N191+N194</f>
        <v>350</v>
      </c>
      <c r="O188" s="427">
        <f ca="1">IF(L188&gt;0,N188*100/L188,0)</f>
        <v>0.95890410958904104</v>
      </c>
      <c r="P188" s="427">
        <f ca="1">IF(M188&gt;0,N188*100/M188,0)</f>
        <v>1.5555555555555556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36500</v>
      </c>
      <c r="M189" s="427">
        <f ca="1">M190+M191</f>
        <v>22500</v>
      </c>
      <c r="N189" s="427">
        <f ca="1">N190+N191</f>
        <v>350</v>
      </c>
      <c r="O189" s="427">
        <f ca="1">IF(L189&gt;0,N189*100/L189,0)</f>
        <v>0.95890410958904104</v>
      </c>
      <c r="P189" s="427">
        <f ca="1">IF(M189&gt;0,N189*100/M189,0)</f>
        <v>1.5555555555555556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IFERROR(__xludf.DUMMYFUNCTION("IMPORTRANGE(""https://docs.google.com/spreadsheets/d/1-uDff_7J0KD5mKrp0Vvzr7lt3OU09vwQwhkpOPPYv2Y/edit?usp=sharing"",""งบพรบ!CU67"")"),36500)</f>
        <v>36500</v>
      </c>
      <c r="M191" s="427">
        <f ca="1">IFERROR(__xludf.DUMMYFUNCTION("IMPORTRANGE(""https://docs.google.com/spreadsheets/d/1-uDff_7J0KD5mKrp0Vvzr7lt3OU09vwQwhkpOPPYv2Y/edit?usp=sharing"",""งบพรบ!CZ67"")"),22500)</f>
        <v>22500</v>
      </c>
      <c r="N191" s="427">
        <f ca="1">IFERROR(__xludf.DUMMYFUNCTION("IMPORTRANGE(""https://docs.google.com/spreadsheets/d/1-uDff_7J0KD5mKrp0Vvzr7lt3OU09vwQwhkpOPPYv2Y/edit?usp=sharing"",""งบพรบ!DB67"")"),350)</f>
        <v>350</v>
      </c>
      <c r="O191" s="427">
        <f ca="1">IF(L191&gt;0,N191*100/L191,0)</f>
        <v>0.95890410958904104</v>
      </c>
      <c r="P191" s="427">
        <f ca="1">IF(M191&gt;0,N191*100/M191,0)</f>
        <v>1.5555555555555556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IFERROR(__xludf.DUMMYFUNCTION("IMPORTRANGE(""https://docs.google.com/spreadsheets/d/1-uDff_7J0KD5mKrp0Vvzr7lt3OU09vwQwhkpOPPYv2Y/edit?usp=sharing"",""งบพรบ!CX67"")"),0)</f>
        <v>0</v>
      </c>
      <c r="M194" s="427">
        <f ca="1">IFERROR(__xludf.DUMMYFUNCTION("IMPORTRANGE(""https://docs.google.com/spreadsheets/d/1-uDff_7J0KD5mKrp0Vvzr7lt3OU09vwQwhkpOPPYv2Y/edit?usp=sharing"",""งบพรบ!DA67"")"),0)</f>
        <v>0</v>
      </c>
      <c r="N194" s="427">
        <f ca="1">IFERROR(__xludf.DUMMYFUNCTION("IMPORTRANGE(""https://docs.google.com/spreadsheets/d/1-uDff_7J0KD5mKrp0Vvzr7lt3OU09vwQwhkpOPPYv2Y/edit?usp=sharing"",""งบพรบ!DC67"")"),0)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IFERROR(__xludf.DUMMYFUNCTION("IMPORTRANGE(""https://docs.google.com/spreadsheets/d/1eHaY18a8A9IcSdp1K8H6x8fbOy06t2VsZHhMHf-1x7Y/edit?usp=sharing"",""แผน!AB67"")"),6000)</f>
        <v>6000</v>
      </c>
      <c r="M196" s="430"/>
      <c r="N196" s="849">
        <v>350</v>
      </c>
      <c r="O196" s="737">
        <f ca="1">IF(L196&gt;0,N196*100/L196,0)</f>
        <v>5.833333333333333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IFERROR(__xludf.DUMMYFUNCTION("IMPORTRANGE(""https://docs.google.com/spreadsheets/d/1eHaY18a8A9IcSdp1K8H6x8fbOy06t2VsZHhMHf-1x7Y/edit?usp=sharing"",""แผน!AE67"")"),4)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55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55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26000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IFERROR(__xludf.DUMMYFUNCTION("IMPORTRANGE(""https://docs.google.com/spreadsheets/d/1eHaY18a8A9IcSdp1K8H6x8fbOy06t2VsZHhMHf-1x7Y/edit?usp=sharing"",""แผน!AG67"")"),2000)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IFERROR(__xludf.DUMMYFUNCTION("IMPORTRANGE(""https://docs.google.com/spreadsheets/d/1eHaY18a8A9IcSdp1K8H6x8fbOy06t2VsZHhMHf-1x7Y/edit?usp=sharing"",""แผน!AH67"")"),0)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IFERROR(__xludf.DUMMYFUNCTION("IMPORTRANGE(""https://docs.google.com/spreadsheets/d/1eHaY18a8A9IcSdp1K8H6x8fbOy06t2VsZHhMHf-1x7Y/edit?usp=sharing"",""แผน!AI67"")"),16000)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IFERROR(__xludf.DUMMYFUNCTION("IMPORTRANGE(""https://docs.google.com/spreadsheets/d/1eHaY18a8A9IcSdp1K8H6x8fbOy06t2VsZHhMHf-1x7Y/edit?usp=sharing"",""แผน!AJ67"")"),8000)</f>
        <v>8000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IFERROR(__xludf.DUMMYFUNCTION("IMPORTRANGE(""https://docs.google.com/spreadsheets/d/1eHaY18a8A9IcSdp1K8H6x8fbOy06t2VsZHhMHf-1x7Y/edit?usp=sharing"",""แผน!AK67"")"),2)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IFERROR(__xludf.DUMMYFUNCTION("IMPORTRANGE(""https://docs.google.com/spreadsheets/d/1eHaY18a8A9IcSdp1K8H6x8fbOy06t2VsZHhMHf-1x7Y/edit?usp=sharing"",""แผน!JX67"")"),2)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IFERROR(__xludf.DUMMYFUNCTION("IMPORTRANGE(""https://docs.google.com/spreadsheets/d/1eHaY18a8A9IcSdp1K8H6x8fbOy06t2VsZHhMHf-1x7Y/edit?usp=sharing"",""แผน!JY67"")"),0)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IFERROR(__xludf.DUMMYFUNCTION("IMPORTRANGE(""https://docs.google.com/spreadsheets/d/1eHaY18a8A9IcSdp1K8H6x8fbOy06t2VsZHhMHf-1x7Y/edit?usp=sharing"",""แผน!AM67"")"),0)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IFERROR(__xludf.DUMMYFUNCTION("IMPORTRANGE(""https://docs.google.com/spreadsheets/d/1eHaY18a8A9IcSdp1K8H6x8fbOy06t2VsZHhMHf-1x7Y/edit?usp=sharing"",""แผน!AN67"")"),0)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IFERROR(__xludf.DUMMYFUNCTION("IMPORTRANGE(""https://docs.google.com/spreadsheets/d/1eHaY18a8A9IcSdp1K8H6x8fbOy06t2VsZHhMHf-1x7Y/edit?usp=sharing"",""แผน!AO67"")"),0)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IFERROR(__xludf.DUMMYFUNCTION("IMPORTRANGE(""https://docs.google.com/spreadsheets/d/1eHaY18a8A9IcSdp1K8H6x8fbOy06t2VsZHhMHf-1x7Y/edit?usp=sharing"",""แผน!AP67"")"),0)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IFERROR(__xludf.DUMMYFUNCTION("IMPORTRANGE(""https://docs.google.com/spreadsheets/d/1eHaY18a8A9IcSdp1K8H6x8fbOy06t2VsZHhMHf-1x7Y/edit?usp=sharing"",""แผน!AP67"")"),0)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IFERROR(__xludf.DUMMYFUNCTION("IMPORTRANGE(""https://docs.google.com/spreadsheets/d/1eHaY18a8A9IcSdp1K8H6x8fbOy06t2VsZHhMHf-1x7Y/edit?usp=sharing"",""แผน!AR67"")"),3000)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IFERROR(__xludf.DUMMYFUNCTION("IMPORTRANGE(""https://docs.google.com/spreadsheets/d/1eHaY18a8A9IcSdp1K8H6x8fbOy06t2VsZHhMHf-1x7Y/edit?usp=sharing"",""แผน!AS67"")"),1500)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IFERROR(__xludf.DUMMYFUNCTION("IMPORTRANGE(""https://docs.google.com/spreadsheets/d/1eHaY18a8A9IcSdp1K8H6x8fbOy06t2VsZHhMHf-1x7Y/edit?usp=sharing"",""แผน!AT67"")"),0)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IFERROR(__xludf.DUMMYFUNCTION("IMPORTRANGE(""https://docs.google.com/spreadsheets/d/1eHaY18a8A9IcSdp1K8H6x8fbOy06t2VsZHhMHf-1x7Y/edit?usp=sharing"",""แผน!AV67"")"),20000)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IFERROR(__xludf.DUMMYFUNCTION("IMPORTRANGE(""https://docs.google.com/spreadsheets/d/1eHaY18a8A9IcSdp1K8H6x8fbOy06t2VsZHhMHf-1x7Y/edit?usp=sharing"",""แผน!AV67"")"),20000)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IFERROR(__xludf.DUMMYFUNCTION("IMPORTRANGE(""https://docs.google.com/spreadsheets/d/1eHaY18a8A9IcSdp1K8H6x8fbOy06t2VsZHhMHf-1x7Y/edit?usp=sharing"",""แผน!AU67"")"),0)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IFERROR(__xludf.DUMMYFUNCTION("IMPORTRANGE(""https://docs.google.com/spreadsheets/d/1eHaY18a8A9IcSdp1K8H6x8fbOy06t2VsZHhMHf-1x7Y/edit?usp=sharing"",""แผน!AX67"")"),0)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IFERROR(__xludf.DUMMYFUNCTION("IMPORTRANGE(""https://docs.google.com/spreadsheets/d/1eHaY18a8A9IcSdp1K8H6x8fbOy06t2VsZHhMHf-1x7Y/edit?usp=sharing"",""แผน!AY67"")"),0)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IFERROR(__xludf.DUMMYFUNCTION("IMPORTRANGE(""https://docs.google.com/spreadsheets/d/1eHaY18a8A9IcSdp1K8H6x8fbOy06t2VsZHhMHf-1x7Y/edit?usp=sharing"",""แผน!AZ67"")"),0)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IFERROR(__xludf.DUMMYFUNCTION("IMPORTRANGE(""https://docs.google.com/spreadsheets/d/1eHaY18a8A9IcSdp1K8H6x8fbOy06t2VsZHhMHf-1x7Y/edit?usp=sharing"",""แผน!BA67"")"),0)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IFERROR(__xludf.DUMMYFUNCTION("IMPORTRANGE(""https://docs.google.com/spreadsheets/d/1eHaY18a8A9IcSdp1K8H6x8fbOy06t2VsZHhMHf-1x7Y/edit?usp=sharing"",""แผน!BG67"")"),0)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IFERROR(__xludf.DUMMYFUNCTION("IMPORTRANGE(""https://docs.google.com/spreadsheets/d/1eHaY18a8A9IcSdp1K8H6x8fbOy06t2VsZHhMHf-1x7Y/edit?usp=sharing"",""แผน!BB67"")"),0)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IFERROR(__xludf.DUMMYFUNCTION("IMPORTRANGE(""https://docs.google.com/spreadsheets/d/1eHaY18a8A9IcSdp1K8H6x8fbOy06t2VsZHhMHf-1x7Y/edit?usp=sharing"",""แผน!BC67"")"),0)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IFERROR(__xludf.DUMMYFUNCTION("IMPORTRANGE(""https://docs.google.com/spreadsheets/d/1eHaY18a8A9IcSdp1K8H6x8fbOy06t2VsZHhMHf-1x7Y/edit?usp=sharing"",""แผน!BD67"")"),0)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IFERROR(__xludf.DUMMYFUNCTION("IMPORTRANGE(""https://docs.google.com/spreadsheets/d/1eHaY18a8A9IcSdp1K8H6x8fbOy06t2VsZHhMHf-1x7Y/edit?usp=sharing"",""แผน!BE67"")"),0)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IFERROR(__xludf.DUMMYFUNCTION("IMPORTRANGE(""https://docs.google.com/spreadsheets/d/1eHaY18a8A9IcSdp1K8H6x8fbOy06t2VsZHhMHf-1x7Y/edit?usp=sharing"",""แผน!BH67"")"),0)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IFERROR(__xludf.DUMMYFUNCTION("IMPORTRANGE(""https://docs.google.com/spreadsheets/d/1-uDff_7J0KD5mKrp0Vvzr7lt3OU09vwQwhkpOPPYv2Y/edit?usp=sharing"",""งบพรบ!DE67"")"),0)</f>
        <v>0</v>
      </c>
      <c r="M271" s="522">
        <f ca="1">IFERROR(__xludf.DUMMYFUNCTION("IMPORTRANGE(""https://docs.google.com/spreadsheets/d/1-uDff_7J0KD5mKrp0Vvzr7lt3OU09vwQwhkpOPPYv2Y/edit?usp=sharing"",""งบพรบ!DJ67"")"),0)</f>
        <v>0</v>
      </c>
      <c r="N271" s="522">
        <f ca="1">IFERROR(__xludf.DUMMYFUNCTION("IMPORTRANGE(""https://docs.google.com/spreadsheets/d/1-uDff_7J0KD5mKrp0Vvzr7lt3OU09vwQwhkpOPPYv2Y/edit?usp=sharing"",""งบพรบ!DL67"")"),0)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IFERROR(__xludf.DUMMYFUNCTION("IMPORTRANGE(""https://docs.google.com/spreadsheets/d/1-uDff_7J0KD5mKrp0Vvzr7lt3OU09vwQwhkpOPPYv2Y/edit?usp=sharing"",""งบพรบ!DH67"")"),0)</f>
        <v>0</v>
      </c>
      <c r="M274" s="522">
        <f ca="1">IFERROR(__xludf.DUMMYFUNCTION("IMPORTRANGE(""https://docs.google.com/spreadsheets/d/1-uDff_7J0KD5mKrp0Vvzr7lt3OU09vwQwhkpOPPYv2Y/edit?usp=sharing"",""งบพรบ!DK67"")"),0)</f>
        <v>0</v>
      </c>
      <c r="N274" s="522">
        <f ca="1">IFERROR(__xludf.DUMMYFUNCTION("IMPORTRANGE(""https://docs.google.com/spreadsheets/d/1-uDff_7J0KD5mKrp0Vvzr7lt3OU09vwQwhkpOPPYv2Y/edit?usp=sharing"",""งบพรบ!DM67"")"),0)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IFERROR(__xludf.DUMMYFUNCTION("IMPORTRANGE(""https://docs.google.com/spreadsheets/d/1-uDff_7J0KD5mKrp0Vvzr7lt3OU09vwQwhkpOPPYv2Y/edit?usp=sharing"",""งบพรบ!DO67"")"),0)</f>
        <v>0</v>
      </c>
      <c r="M287" s="427">
        <f ca="1">IFERROR(__xludf.DUMMYFUNCTION("IMPORTRANGE(""https://docs.google.com/spreadsheets/d/1-uDff_7J0KD5mKrp0Vvzr7lt3OU09vwQwhkpOPPYv2Y/edit?usp=sharing"",""งบพรบ!DT67"")"),0)</f>
        <v>0</v>
      </c>
      <c r="N287" s="427">
        <f ca="1">IFERROR(__xludf.DUMMYFUNCTION("IMPORTRANGE(""https://docs.google.com/spreadsheets/d/1-uDff_7J0KD5mKrp0Vvzr7lt3OU09vwQwhkpOPPYv2Y/edit?usp=sharing"",""งบพรบ!DV67"")"),0)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IFERROR(__xludf.DUMMYFUNCTION("IMPORTRANGE(""https://docs.google.com/spreadsheets/d/1-uDff_7J0KD5mKrp0Vvzr7lt3OU09vwQwhkpOPPYv2Y/edit?usp=sharing"",""งบพรบ!DR67"")"),0)</f>
        <v>0</v>
      </c>
      <c r="M290" s="427">
        <f ca="1">IFERROR(__xludf.DUMMYFUNCTION("IMPORTRANGE(""https://docs.google.com/spreadsheets/d/1-uDff_7J0KD5mKrp0Vvzr7lt3OU09vwQwhkpOPPYv2Y/edit?usp=sharing"",""งบพรบ!DU67"")"),0)</f>
        <v>0</v>
      </c>
      <c r="N290" s="427">
        <f ca="1">IFERROR(__xludf.DUMMYFUNCTION("IMPORTRANGE(""https://docs.google.com/spreadsheets/d/1-uDff_7J0KD5mKrp0Vvzr7lt3OU09vwQwhkpOPPYv2Y/edit?usp=sharing"",""งบพรบ!DW67"")"),0)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IFERROR(__xludf.DUMMYFUNCTION("IMPORTRANGE(""https://docs.google.com/spreadsheets/d/1eHaY18a8A9IcSdp1K8H6x8fbOy06t2VsZHhMHf-1x7Y/edit?usp=sharing"",""แผน!EE67"")"),0)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IFERROR(__xludf.DUMMYFUNCTION("IMPORTRANGE(""https://docs.google.com/spreadsheets/d/1eHaY18a8A9IcSdp1K8H6x8fbOy06t2VsZHhMHf-1x7Y/edit?usp=sharing"",""แผน!ED67"")"),0)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IFERROR(__xludf.DUMMYFUNCTION("IMPORTRANGE(""https://docs.google.com/spreadsheets/d/1eHaY18a8A9IcSdp1K8H6x8fbOy06t2VsZHhMHf-1x7Y/edit?usp=sharing"",""แผน!ED67"")"),0)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IFERROR(__xludf.DUMMYFUNCTION("IMPORTRANGE(""https://docs.google.com/spreadsheets/d/1eHaY18a8A9IcSdp1K8H6x8fbOy06t2VsZHhMHf-1x7Y/edit?usp=sharing"",""แผน!ED67"")"),0)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IFERROR(__xludf.DUMMYFUNCTION("IMPORTRANGE(""https://docs.google.com/spreadsheets/d/1-uDff_7J0KD5mKrp0Vvzr7lt3OU09vwQwhkpOPPYv2Y/edit?usp=sharing"",""งบพรบ!DY67"")"),0)</f>
        <v>0</v>
      </c>
      <c r="M308" s="427">
        <f ca="1">IFERROR(__xludf.DUMMYFUNCTION("IMPORTRANGE(""https://docs.google.com/spreadsheets/d/1-uDff_7J0KD5mKrp0Vvzr7lt3OU09vwQwhkpOPPYv2Y/edit?usp=sharing"",""งบพรบ!ED67"")"),0)</f>
        <v>0</v>
      </c>
      <c r="N308" s="427">
        <f ca="1">IFERROR(__xludf.DUMMYFUNCTION("IMPORTRANGE(""https://docs.google.com/spreadsheets/d/1-uDff_7J0KD5mKrp0Vvzr7lt3OU09vwQwhkpOPPYv2Y/edit?usp=sharing"",""งบพรบ!EF67"")"),0)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IFERROR(__xludf.DUMMYFUNCTION("IMPORTRANGE(""https://docs.google.com/spreadsheets/d/1-uDff_7J0KD5mKrp0Vvzr7lt3OU09vwQwhkpOPPYv2Y/edit?usp=sharing"",""งบพรบ!EB67"")"),0)</f>
        <v>0</v>
      </c>
      <c r="M311" s="427">
        <f ca="1">IFERROR(__xludf.DUMMYFUNCTION("IMPORTRANGE(""https://docs.google.com/spreadsheets/d/1-uDff_7J0KD5mKrp0Vvzr7lt3OU09vwQwhkpOPPYv2Y/edit?usp=sharing"",""งบพรบ!EE67"")"),0)</f>
        <v>0</v>
      </c>
      <c r="N311" s="427">
        <f ca="1">IFERROR(__xludf.DUMMYFUNCTION("IMPORTRANGE(""https://docs.google.com/spreadsheets/d/1-uDff_7J0KD5mKrp0Vvzr7lt3OU09vwQwhkpOPPYv2Y/edit?usp=sharing"",""งบพรบ!EG67"")"),0)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IFERROR(__xludf.DUMMYFUNCTION("IMPORTRANGE(""https://docs.google.com/spreadsheets/d/1eHaY18a8A9IcSdp1K8H6x8fbOy06t2VsZHhMHf-1x7Y/edit?usp=sharing"",""แผน!EF67"")"),0)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IFERROR(__xludf.DUMMYFUNCTION("IMPORTRANGE(""https://docs.google.com/spreadsheets/d/1eHaY18a8A9IcSdp1K8H6x8fbOy06t2VsZHhMHf-1x7Y/edit?usp=sharing"",""แผน!EG67"")"),0)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IFERROR(__xludf.DUMMYFUNCTION("IMPORTRANGE(""https://docs.google.com/spreadsheets/d/1eHaY18a8A9IcSdp1K8H6x8fbOy06t2VsZHhMHf-1x7Y/edit?usp=sharing"",""แผน!EH67"")"),0)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IFERROR(__xludf.DUMMYFUNCTION("IMPORTRANGE(""https://docs.google.com/spreadsheets/d/1eHaY18a8A9IcSdp1K8H6x8fbOy06t2VsZHhMHf-1x7Y/edit?usp=sharing"",""แผน!EI67"")"),0)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IFERROR(__xludf.DUMMYFUNCTION("IMPORTRANGE(""https://docs.google.com/spreadsheets/d/1-uDff_7J0KD5mKrp0Vvzr7lt3OU09vwQwhkpOPPYv2Y/edit?usp=sharing"",""งบพรบ!EI67"")"),0)</f>
        <v>0</v>
      </c>
      <c r="M325" s="427">
        <f ca="1">IFERROR(__xludf.DUMMYFUNCTION("IMPORTRANGE(""https://docs.google.com/spreadsheets/d/1-uDff_7J0KD5mKrp0Vvzr7lt3OU09vwQwhkpOPPYv2Y/edit?usp=sharing"",""งบพรบ!EN67"")"),0)</f>
        <v>0</v>
      </c>
      <c r="N325" s="427">
        <f ca="1">IFERROR(__xludf.DUMMYFUNCTION("IMPORTRANGE(""https://docs.google.com/spreadsheets/d/1-uDff_7J0KD5mKrp0Vvzr7lt3OU09vwQwhkpOPPYv2Y/edit?usp=sharing"",""งบพรบ!EP67"")"),0)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IFERROR(__xludf.DUMMYFUNCTION("IMPORTRANGE(""https://docs.google.com/spreadsheets/d/1-uDff_7J0KD5mKrp0Vvzr7lt3OU09vwQwhkpOPPYv2Y/edit?usp=sharing"",""งบพรบ!EL67"")"),0)</f>
        <v>0</v>
      </c>
      <c r="M328" s="427">
        <f ca="1">IFERROR(__xludf.DUMMYFUNCTION("IMPORTRANGE(""https://docs.google.com/spreadsheets/d/1-uDff_7J0KD5mKrp0Vvzr7lt3OU09vwQwhkpOPPYv2Y/edit?usp=sharing"",""งบพรบ!EO67"")"),0)</f>
        <v>0</v>
      </c>
      <c r="N328" s="427">
        <f ca="1">IFERROR(__xludf.DUMMYFUNCTION("IMPORTRANGE(""https://docs.google.com/spreadsheets/d/1-uDff_7J0KD5mKrp0Vvzr7lt3OU09vwQwhkpOPPYv2Y/edit?usp=sharing"",""งบพรบ!EQ67"")"),0)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IFERROR(__xludf.DUMMYFUNCTION("IMPORTRANGE(""https://docs.google.com/spreadsheets/d/1eHaY18a8A9IcSdp1K8H6x8fbOy06t2VsZHhMHf-1x7Y/edit?usp=sharing"",""แผน!EJ67"")"),0)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1060</v>
      </c>
      <c r="J332" s="404">
        <f ca="1">J344+J347+J348+J349+J353</f>
        <v>2776</v>
      </c>
      <c r="K332" s="405">
        <f ca="1">IF(I332&gt;0,J332*100/I332,0)</f>
        <v>261.88679245283021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108000</v>
      </c>
      <c r="M333" s="737">
        <f ca="1">M334+M335</f>
        <v>85750</v>
      </c>
      <c r="N333" s="737">
        <f ca="1">N334+N335</f>
        <v>37240</v>
      </c>
      <c r="O333" s="737">
        <f ca="1">IF(L333&gt;0,N333*100/L333,0)</f>
        <v>34.481481481481481</v>
      </c>
      <c r="P333" s="737">
        <f ca="1">IF(M333&gt;0,N333*100/M333,0)</f>
        <v>43.428571428571431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108000</v>
      </c>
      <c r="M335" s="427">
        <f ca="1">M338+M341</f>
        <v>85750</v>
      </c>
      <c r="N335" s="427">
        <f ca="1">N338+N341</f>
        <v>37240</v>
      </c>
      <c r="O335" s="427">
        <f ca="1">IF(L335&gt;0,N335*100/L335,0)</f>
        <v>34.481481481481481</v>
      </c>
      <c r="P335" s="427">
        <f ca="1">IF(M335&gt;0,N335*100/M335,0)</f>
        <v>43.428571428571431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108000</v>
      </c>
      <c r="M336" s="427">
        <f ca="1">M337+M338</f>
        <v>85750</v>
      </c>
      <c r="N336" s="427">
        <f ca="1">N337+N338</f>
        <v>37240</v>
      </c>
      <c r="O336" s="427">
        <f ca="1">IF(L336&gt;0,N336*100/L336,0)</f>
        <v>34.481481481481481</v>
      </c>
      <c r="P336" s="427">
        <f ca="1">IF(M336&gt;0,N336*100/M336,0)</f>
        <v>43.428571428571431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IFERROR(__xludf.DUMMYFUNCTION("IMPORTRANGE(""https://docs.google.com/spreadsheets/d/1-uDff_7J0KD5mKrp0Vvzr7lt3OU09vwQwhkpOPPYv2Y/edit?usp=sharing"",""งบพรบ!ES67"")"),108000)</f>
        <v>108000</v>
      </c>
      <c r="M338" s="427">
        <f ca="1">IFERROR(__xludf.DUMMYFUNCTION("IMPORTRANGE(""https://docs.google.com/spreadsheets/d/1-uDff_7J0KD5mKrp0Vvzr7lt3OU09vwQwhkpOPPYv2Y/edit?usp=sharing"",""งบพรบ!EX67"")"),85750)</f>
        <v>85750</v>
      </c>
      <c r="N338" s="427">
        <f ca="1">IFERROR(__xludf.DUMMYFUNCTION("IMPORTRANGE(""https://docs.google.com/spreadsheets/d/1-uDff_7J0KD5mKrp0Vvzr7lt3OU09vwQwhkpOPPYv2Y/edit?usp=sharing"",""งบพรบ!EZ67"")"),37240)</f>
        <v>37240</v>
      </c>
      <c r="O338" s="427">
        <f ca="1">IF(L338&gt;0,N338*100/L338,0)</f>
        <v>34.481481481481481</v>
      </c>
      <c r="P338" s="427">
        <f ca="1">IF(M338&gt;0,N338*100/M338,0)</f>
        <v>43.428571428571431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IFERROR(__xludf.DUMMYFUNCTION("IMPORTRANGE(""https://docs.google.com/spreadsheets/d/1-uDff_7J0KD5mKrp0Vvzr7lt3OU09vwQwhkpOPPYv2Y/edit?usp=sharing"",""งบพรบ!EV67"")"),0)</f>
        <v>0</v>
      </c>
      <c r="M341" s="427">
        <f ca="1">IFERROR(__xludf.DUMMYFUNCTION("IMPORTRANGE(""https://docs.google.com/spreadsheets/d/1-uDff_7J0KD5mKrp0Vvzr7lt3OU09vwQwhkpOPPYv2Y/edit?usp=sharing"",""งบพรบ!EY67"")"),0)</f>
        <v>0</v>
      </c>
      <c r="N341" s="427">
        <f ca="1">IFERROR(__xludf.DUMMYFUNCTION("IMPORTRANGE(""https://docs.google.com/spreadsheets/d/1-uDff_7J0KD5mKrp0Vvzr7lt3OU09vwQwhkpOPPYv2Y/edit?usp=sharing"",""งบพรบ!FA67"")"),0)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1040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IFERROR(__xludf.DUMMYFUNCTION("IMPORTRANGE(""https://docs.google.com/spreadsheets/d/1eHaY18a8A9IcSdp1K8H6x8fbOy06t2VsZHhMHf-1x7Y/edit?usp=sharing"",""แผน!EK67"")"),1060)</f>
        <v>1060</v>
      </c>
      <c r="J344" s="426">
        <f ca="1">IFERROR(__xludf.DUMMYFUNCTION("IMPORTRANGE(""https://docs.google.com/spreadsheets/d/1awYsYK3VOup2i3Pq_Yjnu8DRu_mYwSBnCR2QPthd0rU/edit?usp=sharing"",""ศูนย์ยกเว้นโฉนด!D67"")"),1039)</f>
        <v>1039</v>
      </c>
      <c r="K344" s="427">
        <f ca="1">IF(I344&gt;0,J344*100/I344,0)</f>
        <v>98.018867924528308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IFERROR(__xludf.DUMMYFUNCTION("IMPORTRANGE(""https://docs.google.com/spreadsheets/d/1eHaY18a8A9IcSdp1K8H6x8fbOy06t2VsZHhMHf-1x7Y/edit?usp=sharing"",""แผน!EL67"")"),4)</f>
        <v>4</v>
      </c>
      <c r="J346" s="426">
        <f ca="1">IFERROR(__xludf.DUMMYFUNCTION("IMPORTRANGE(""https://docs.google.com/spreadsheets/d/1awYsYK3VOup2i3Pq_Yjnu8DRu_mYwSBnCR2QPthd0rU/edit?usp=sharing"",""ศูนย์รวม!E67"")"),3)</f>
        <v>3</v>
      </c>
      <c r="K346" s="427">
        <f ca="1">IF(I346&gt;0,J346*100/I346,0)</f>
        <v>75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IFERROR(__xludf.DUMMYFUNCTION("IMPORTRANGE(""https://docs.google.com/spreadsheets/d/1awYsYK3VOup2i3Pq_Yjnu8DRu_mYwSBnCR2QPthd0rU/edit?usp=sharing"",""ศูนย์ยกเว้นโฉนด!F67"")"),0)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IFERROR(__xludf.DUMMYFUNCTION("IMPORTRANGE(""https://docs.google.com/spreadsheets/d/1awYsYK3VOup2i3Pq_Yjnu8DRu_mYwSBnCR2QPthd0rU/edit?usp=sharing"",""ศูนย์ยกเว้นโฉนด!G67"")"),1)</f>
        <v>1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IFERROR(__xludf.DUMMYFUNCTION("IMPORTRANGE(""https://docs.google.com/spreadsheets/d/1awYsYK3VOup2i3Pq_Yjnu8DRu_mYwSBnCR2QPthd0rU/edit?usp=sharing"",""ศูนย์ยกเว้นโฉนด!H67"")"),0)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1907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IFERROR(__xludf.DUMMYFUNCTION("IMPORTRANGE(""https://docs.google.com/spreadsheets/d/1awYsYK3VOup2i3Pq_Yjnu8DRu_mYwSBnCR2QPthd0rU/edit?usp=sharing"",""โฉนดM3!G67"")"),171)</f>
        <v>171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IFERROR(__xludf.DUMMYFUNCTION("IMPORTRANGE(""https://docs.google.com/spreadsheets/d/1awYsYK3VOup2i3Pq_Yjnu8DRu_mYwSBnCR2QPthd0rU/edit?usp=sharing"",""โฉนดM3!H67"")"),1736)</f>
        <v>1736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591785</v>
      </c>
      <c r="M356" s="737">
        <f ca="1">M357+M358</f>
        <v>453585</v>
      </c>
      <c r="N356" s="737">
        <f ca="1">N357+N358</f>
        <v>175845</v>
      </c>
      <c r="O356" s="737">
        <f ca="1">IF(L356&gt;0,N356*100/L356,0)</f>
        <v>29.714338822376369</v>
      </c>
      <c r="P356" s="737">
        <f ca="1">IF(M356&gt;0,N356*100/M356,0)</f>
        <v>38.767816396044843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591785</v>
      </c>
      <c r="M358" s="427">
        <f ca="1">M361+M364</f>
        <v>453585</v>
      </c>
      <c r="N358" s="427">
        <f ca="1">N361+N364</f>
        <v>175845</v>
      </c>
      <c r="O358" s="427">
        <f ca="1">IF(L358&gt;0,N358*100/L358,0)</f>
        <v>29.714338822376369</v>
      </c>
      <c r="P358" s="427">
        <f ca="1">IF(M358&gt;0,N358*100/M358,0)</f>
        <v>38.767816396044843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591785</v>
      </c>
      <c r="M359" s="427">
        <f ca="1">M360+M361</f>
        <v>453585</v>
      </c>
      <c r="N359" s="427">
        <f ca="1">N360+N361</f>
        <v>175845</v>
      </c>
      <c r="O359" s="427">
        <f ca="1">IF(L359&gt;0,N359*100/L359,0)</f>
        <v>29.714338822376369</v>
      </c>
      <c r="P359" s="427">
        <f ca="1">IF(M359&gt;0,N359*100/M359,0)</f>
        <v>38.767816396044843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IFERROR(__xludf.DUMMYFUNCTION("IMPORTRANGE(""https://docs.google.com/spreadsheets/d/1-uDff_7J0KD5mKrp0Vvzr7lt3OU09vwQwhkpOPPYv2Y/edit?usp=sharing"",""งบพรบ!FC67"")"),591785)</f>
        <v>591785</v>
      </c>
      <c r="M361" s="427">
        <f ca="1">IFERROR(__xludf.DUMMYFUNCTION("IMPORTRANGE(""https://docs.google.com/spreadsheets/d/1-uDff_7J0KD5mKrp0Vvzr7lt3OU09vwQwhkpOPPYv2Y/edit?usp=sharing"",""งบพรบ!FH67"")"),453585)</f>
        <v>453585</v>
      </c>
      <c r="N361" s="427">
        <f ca="1">IFERROR(__xludf.DUMMYFUNCTION("IMPORTRANGE(""https://docs.google.com/spreadsheets/d/1-uDff_7J0KD5mKrp0Vvzr7lt3OU09vwQwhkpOPPYv2Y/edit?usp=sharing"",""งบพรบ!FJ67"")"),175845)</f>
        <v>175845</v>
      </c>
      <c r="O361" s="427">
        <f ca="1">IF(L361&gt;0,N361*100/L361,0)</f>
        <v>29.714338822376369</v>
      </c>
      <c r="P361" s="427">
        <f ca="1">IF(M361&gt;0,N361*100/M361,0)</f>
        <v>38.767816396044843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IFERROR(__xludf.DUMMYFUNCTION("IMPORTRANGE(""https://docs.google.com/spreadsheets/d/1-uDff_7J0KD5mKrp0Vvzr7lt3OU09vwQwhkpOPPYv2Y/edit?usp=sharing"",""งบพรบ!FF67"")"),0)</f>
        <v>0</v>
      </c>
      <c r="M364" s="427">
        <f ca="1">IFERROR(__xludf.DUMMYFUNCTION("IMPORTRANGE(""https://docs.google.com/spreadsheets/d/1-uDff_7J0KD5mKrp0Vvzr7lt3OU09vwQwhkpOPPYv2Y/edit?usp=sharing"",""งบพรบ!FI67"")"),0)</f>
        <v>0</v>
      </c>
      <c r="N364" s="427">
        <f ca="1">IFERROR(__xludf.DUMMYFUNCTION("IMPORTRANGE(""https://docs.google.com/spreadsheets/d/1-uDff_7J0KD5mKrp0Vvzr7lt3OU09vwQwhkpOPPYv2Y/edit?usp=sharing"",""งบพรบ!FK67"")"),0)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83</v>
      </c>
      <c r="J365" s="440">
        <f ca="1">J371</f>
        <v>64</v>
      </c>
      <c r="K365" s="441">
        <f ca="1">IF(I365&gt;0,J365*100/I365,0)</f>
        <v>77.108433734939766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IFERROR(__xludf.DUMMYFUNCTION("IMPORTRANGE(""https://docs.google.com/spreadsheets/d/1tdoBKaGub7dwA3U6UFTqxio9LNnvDCQjHKmttSEBsFQ/edit?usp=sharing"",""จัดที่ดิน!AB67"")"),17)</f>
        <v>17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IFERROR(__xludf.DUMMYFUNCTION("IMPORTRANGE(""https://docs.google.com/spreadsheets/d/1eHaY18a8A9IcSdp1K8H6x8fbOy06t2VsZHhMHf-1x7Y/edit?usp=sharing"",""แผน!EW67"")"),840)</f>
        <v>840</v>
      </c>
      <c r="J368" s="726">
        <f ca="1">IFERROR(__xludf.DUMMYFUNCTION("IMPORTRANGE(""https://docs.google.com/spreadsheets/d/1tdoBKaGub7dwA3U6UFTqxio9LNnvDCQjHKmttSEBsFQ/edit?usp=sharing"",""จัดที่ดิน!AC67"")"),102.28)</f>
        <v>102.28</v>
      </c>
      <c r="K368" s="427">
        <f ca="1">IF(I368&gt;0,J368*100/I368,0)</f>
        <v>12.176190476190476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IFERROR(__xludf.DUMMYFUNCTION("IMPORTRANGE(""https://docs.google.com/spreadsheets/d/1eHaY18a8A9IcSdp1K8H6x8fbOy06t2VsZHhMHf-1x7Y/edit?usp=sharing"",""แผน!EX67"")"),123)</f>
        <v>123</v>
      </c>
      <c r="J369" s="426">
        <f ca="1">IFERROR(__xludf.DUMMYFUNCTION("IMPORTRANGE(""https://docs.google.com/spreadsheets/d/1tdoBKaGub7dwA3U6UFTqxio9LNnvDCQjHKmttSEBsFQ/edit?usp=sharing"",""จัดที่ดิน!AD67"")"),64)</f>
        <v>64</v>
      </c>
      <c r="K369" s="427">
        <f ca="1">IF(I369&gt;0,J369*100/I369,0)</f>
        <v>52.032520325203251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IFERROR(__xludf.DUMMYFUNCTION("IMPORTRANGE(""https://docs.google.com/spreadsheets/d/1tdoBKaGub7dwA3U6UFTqxio9LNnvDCQjHKmttSEBsFQ/edit?usp=sharing"",""จัดที่ดิน!AE67"")"),661.05)</f>
        <v>661.05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IFERROR(__xludf.DUMMYFUNCTION("IMPORTRANGE(""https://docs.google.com/spreadsheets/d/1eHaY18a8A9IcSdp1K8H6x8fbOy06t2VsZHhMHf-1x7Y/edit?usp=sharing"",""แผน!EY67"")"),83)</f>
        <v>83</v>
      </c>
      <c r="J371" s="426">
        <f ca="1">IFERROR(__xludf.DUMMYFUNCTION("IMPORTRANGE(""https://docs.google.com/spreadsheets/d/1tdoBKaGub7dwA3U6UFTqxio9LNnvDCQjHKmttSEBsFQ/edit?usp=sharing"",""จัดที่ดิน!AF67"")"),64)</f>
        <v>64</v>
      </c>
      <c r="K371" s="427">
        <f ca="1">IF(I371&gt;0,J371*100/I371,0)</f>
        <v>77.108433734939766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IFERROR(__xludf.DUMMYFUNCTION("IMPORTRANGE(""https://docs.google.com/spreadsheets/d/1tdoBKaGub7dwA3U6UFTqxio9LNnvDCQjHKmttSEBsFQ/edit?usp=sharing"",""จัดที่ดิน!AG67"")"),661.05)</f>
        <v>661.05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IFERROR(__xludf.DUMMYFUNCTION("IMPORTRANGE(""https://docs.google.com/spreadsheets/d/1-uDff_7J0KD5mKrp0Vvzr7lt3OU09vwQwhkpOPPYv2Y/edit?usp=sharing"",""งบพรบ!FM67"")"),0)</f>
        <v>0</v>
      </c>
      <c r="M382" s="522">
        <f ca="1">IFERROR(__xludf.DUMMYFUNCTION("IMPORTRANGE(""https://docs.google.com/spreadsheets/d/1-uDff_7J0KD5mKrp0Vvzr7lt3OU09vwQwhkpOPPYv2Y/edit?usp=sharing"",""งบพรบ!FR67"")"),0)</f>
        <v>0</v>
      </c>
      <c r="N382" s="522">
        <f ca="1">IFERROR(__xludf.DUMMYFUNCTION("IMPORTRANGE(""https://docs.google.com/spreadsheets/d/1-uDff_7J0KD5mKrp0Vvzr7lt3OU09vwQwhkpOPPYv2Y/edit?usp=sharing"",""งบพรบ!FT67"")"),0)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IFERROR(__xludf.DUMMYFUNCTION("IMPORTRANGE(""https://docs.google.com/spreadsheets/d/1-uDff_7J0KD5mKrp0Vvzr7lt3OU09vwQwhkpOPPYv2Y/edit?usp=sharing"",""งบพรบ!FP67"")"),0)</f>
        <v>0</v>
      </c>
      <c r="M385" s="522">
        <f ca="1">IFERROR(__xludf.DUMMYFUNCTION("IMPORTRANGE(""https://docs.google.com/spreadsheets/d/1-uDff_7J0KD5mKrp0Vvzr7lt3OU09vwQwhkpOPPYv2Y/edit?usp=sharing"",""งบพรบ!FS67"")"),0)</f>
        <v>0</v>
      </c>
      <c r="N385" s="522">
        <f ca="1">IFERROR(__xludf.DUMMYFUNCTION("IMPORTRANGE(""https://docs.google.com/spreadsheets/d/1-uDff_7J0KD5mKrp0Vvzr7lt3OU09vwQwhkpOPPYv2Y/edit?usp=sharing"",""งบพรบ!FU67"")"),0)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E461-6BDD-42D9-9D30-F9D7F56D678E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4.42578125" bestFit="1" customWidth="1"/>
    <col min="10" max="10" width="15.140625" customWidth="1"/>
    <col min="11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180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2488590</v>
      </c>
      <c r="M18" s="865">
        <f ca="1">M19+M20</f>
        <v>2067510</v>
      </c>
      <c r="N18" s="865">
        <f ca="1">N19+N20</f>
        <v>822752.05999999994</v>
      </c>
      <c r="O18" s="865">
        <f ca="1">IF(L18&gt;0,N18*100/L18,0)</f>
        <v>33.060972679308364</v>
      </c>
      <c r="P18" s="865">
        <f ca="1">IF(M18&gt;0,N18*100/M18,0)</f>
        <v>39.794344888295583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2488590</v>
      </c>
      <c r="M20" s="972">
        <f ca="1">M23+M26</f>
        <v>2067510</v>
      </c>
      <c r="N20" s="972">
        <f ca="1">N23+N26</f>
        <v>822752.05999999994</v>
      </c>
      <c r="O20" s="972">
        <f ca="1">IF(L20&gt;0,N20*100/L20,0)</f>
        <v>33.060972679308364</v>
      </c>
      <c r="P20" s="972">
        <f ca="1">IF(M20&gt;0,N20*100/M20,0)</f>
        <v>39.794344888295583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2488590</v>
      </c>
      <c r="M21" s="427">
        <f ca="1">M22+M23</f>
        <v>2067510</v>
      </c>
      <c r="N21" s="427">
        <f ca="1">N22+N23</f>
        <v>822752.05999999994</v>
      </c>
      <c r="O21" s="427">
        <f ca="1">IF(L21&gt;0,N21*100/L21,0)</f>
        <v>33.060972679308364</v>
      </c>
      <c r="P21" s="427">
        <f ca="1">IF(M21&gt;0,N21*100/M21,0)</f>
        <v>39.794344888295583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2488590</v>
      </c>
      <c r="M23" s="427">
        <f ca="1">M49+M64+M77+M99+M130+M144+M162+M191+M178+M271+M287+M308+M325+M338+M361+M382</f>
        <v>2067510</v>
      </c>
      <c r="N23" s="427">
        <f ca="1">N49+N64+N77+N99+N130+N144+N162+N191+N178+N271+N287+N308+N325+N338+N361+N382</f>
        <v>822752.05999999994</v>
      </c>
      <c r="O23" s="427">
        <f ca="1">IF(L23&gt;0,N23*100/L23,0)</f>
        <v>33.060972679308364</v>
      </c>
      <c r="P23" s="427">
        <f ca="1">IF(M23&gt;0,N23*100/M23,0)</f>
        <v>39.794344888295583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2488590</v>
      </c>
      <c r="M40" s="964">
        <f ca="1">M44+M59+M72+M94+M125+M139+M157+M173+M186+M266+M282+M303+M320+M333+M356</f>
        <v>2067510</v>
      </c>
      <c r="N40" s="964">
        <f ca="1">N44+N59+N72+N94+N125+N139+N157+N173+N186+N266+N282+N303+N320+N333+N356</f>
        <v>822752.05999999994</v>
      </c>
      <c r="O40" s="964">
        <f ca="1">IF(L40&gt;0,N40*100/L40,0)</f>
        <v>33.060972679308364</v>
      </c>
      <c r="P40" s="964">
        <f ca="1">IF(M40&gt;0,N40*100/M40,0)</f>
        <v>39.794344888295583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441000</v>
      </c>
      <c r="M44" s="949">
        <f ca="1">M45+M46</f>
        <v>445500</v>
      </c>
      <c r="N44" s="949">
        <f ca="1">N45+N46</f>
        <v>205736</v>
      </c>
      <c r="O44" s="949">
        <f ca="1">IF(L44&gt;0,N44*100/L44,0)</f>
        <v>46.652154195011335</v>
      </c>
      <c r="P44" s="949">
        <f ca="1">IF(M44&gt;0,N44*100/M44,0)</f>
        <v>46.180920314253648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441000</v>
      </c>
      <c r="M46" s="941">
        <f ca="1">M49+M52</f>
        <v>445500</v>
      </c>
      <c r="N46" s="941">
        <f ca="1">N49+N52</f>
        <v>205736</v>
      </c>
      <c r="O46" s="941">
        <f ca="1">IF(L46&gt;0,N46*100/L46,0)</f>
        <v>46.652154195011335</v>
      </c>
      <c r="P46" s="941">
        <f ca="1">IF(M46&gt;0,N46*100/M46,0)</f>
        <v>46.180920314253648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441000</v>
      </c>
      <c r="M47" s="427">
        <f ca="1">M48+M49</f>
        <v>445500</v>
      </c>
      <c r="N47" s="427">
        <f ca="1">N48+N49</f>
        <v>205736</v>
      </c>
      <c r="O47" s="427">
        <f ca="1">IF(L47&gt;0,N47*100/L47,0)</f>
        <v>46.652154195011335</v>
      </c>
      <c r="P47" s="427">
        <f ca="1">IF(M47&gt;0,N47*100/M47,0)</f>
        <v>46.180920314253648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IFERROR(__xludf.DUMMYFUNCTION("IMPORTRANGE(""https://docs.google.com/spreadsheets/d/1-uDff_7J0KD5mKrp0Vvzr7lt3OU09vwQwhkpOPPYv2Y/edit?usp=sharing"",""งบพรบ!P68"")"),441000)</f>
        <v>441000</v>
      </c>
      <c r="M49" s="427">
        <f ca="1">IFERROR(__xludf.DUMMYFUNCTION("IMPORTRANGE(""https://docs.google.com/spreadsheets/d/1-uDff_7J0KD5mKrp0Vvzr7lt3OU09vwQwhkpOPPYv2Y/edit?usp=sharing"",""งบพรบ!V68"")"),445500)</f>
        <v>445500</v>
      </c>
      <c r="N49" s="427">
        <f ca="1">IFERROR(__xludf.DUMMYFUNCTION("IMPORTRANGE(""https://docs.google.com/spreadsheets/d/1-uDff_7J0KD5mKrp0Vvzr7lt3OU09vwQwhkpOPPYv2Y/edit?usp=sharing"",""งบพรบ!Y68"")"),205736)</f>
        <v>205736</v>
      </c>
      <c r="O49" s="427">
        <f ca="1">IF(L49&gt;0,N49*100/L49,0)</f>
        <v>46.652154195011335</v>
      </c>
      <c r="P49" s="427">
        <f ca="1">IF(M49&gt;0,N49*100/M49,0)</f>
        <v>46.180920314253648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IFERROR(__xludf.DUMMYFUNCTION("IMPORTRANGE(""https://docs.google.com/spreadsheets/d/1-uDff_7J0KD5mKrp0Vvzr7lt3OU09vwQwhkpOPPYv2Y/edit?usp=sharing"",""งบพรบ!S68"")"),0)</f>
        <v>0</v>
      </c>
      <c r="M52" s="427">
        <f ca="1">IFERROR(__xludf.DUMMYFUNCTION("IMPORTRANGE(""https://docs.google.com/spreadsheets/d/1-uDff_7J0KD5mKrp0Vvzr7lt3OU09vwQwhkpOPPYv2Y/edit?usp=sharing"",""งบพรบ!W68"")"),0)</f>
        <v>0</v>
      </c>
      <c r="N52" s="427">
        <f ca="1">IFERROR(__xludf.DUMMYFUNCTION("IMPORTRANGE(""https://docs.google.com/spreadsheets/d/1-uDff_7J0KD5mKrp0Vvzr7lt3OU09vwQwhkpOPPYv2Y/edit?usp=sharing"",""งบพรบ!Z68"")"),0)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544900</v>
      </c>
      <c r="M59" s="921">
        <f ca="1">M60+M61</f>
        <v>410650</v>
      </c>
      <c r="N59" s="921">
        <f ca="1">N60+N61</f>
        <v>279766.40999999997</v>
      </c>
      <c r="O59" s="921">
        <f ca="1">IF(L59&gt;0,N59*100/L59,0)</f>
        <v>51.342706918700671</v>
      </c>
      <c r="P59" s="921">
        <f ca="1">IF(M59&gt;0,N59*100/M59,0)</f>
        <v>68.127702422987937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544900</v>
      </c>
      <c r="M61" s="913">
        <f ca="1">M64+M67</f>
        <v>410650</v>
      </c>
      <c r="N61" s="913">
        <f ca="1">N64+N67</f>
        <v>279766.40999999997</v>
      </c>
      <c r="O61" s="913">
        <f ca="1">IF(L61&gt;0,N61*100/L61,0)</f>
        <v>51.342706918700671</v>
      </c>
      <c r="P61" s="913">
        <f ca="1">IF(M61&gt;0,N61*100/M61,0)</f>
        <v>68.127702422987937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544900</v>
      </c>
      <c r="M62" s="427">
        <f ca="1">M63+M64</f>
        <v>410650</v>
      </c>
      <c r="N62" s="427">
        <f ca="1">N63+N64</f>
        <v>279766.40999999997</v>
      </c>
      <c r="O62" s="427">
        <f ca="1">IF(L62&gt;0,N62*100/L62,0)</f>
        <v>51.342706918700671</v>
      </c>
      <c r="P62" s="427">
        <f ca="1">IF(M62&gt;0,N62*100/M62,0)</f>
        <v>68.127702422987937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IFERROR(__xludf.DUMMYFUNCTION("IMPORTRANGE(""https://docs.google.com/spreadsheets/d/1-uDff_7J0KD5mKrp0Vvzr7lt3OU09vwQwhkpOPPYv2Y/edit?usp=sharing"",""งบพรบ!AC68"")"),544900)</f>
        <v>544900</v>
      </c>
      <c r="M64" s="427">
        <f ca="1">IFERROR(__xludf.DUMMYFUNCTION("IMPORTRANGE(""https://docs.google.com/spreadsheets/d/1-uDff_7J0KD5mKrp0Vvzr7lt3OU09vwQwhkpOPPYv2Y/edit?usp=sharing"",""งบพรบ!AH68"")"),410650)</f>
        <v>410650</v>
      </c>
      <c r="N64" s="427">
        <f ca="1">IFERROR(__xludf.DUMMYFUNCTION("IMPORTRANGE(""https://docs.google.com/spreadsheets/d/1-uDff_7J0KD5mKrp0Vvzr7lt3OU09vwQwhkpOPPYv2Y/edit?usp=sharing"",""งบพรบ!AJ68"")"),279766.41)</f>
        <v>279766.40999999997</v>
      </c>
      <c r="O64" s="427">
        <f ca="1">IF(L64&gt;0,N64*100/L64,0)</f>
        <v>51.342706918700671</v>
      </c>
      <c r="P64" s="427">
        <f ca="1">IF(M64&gt;0,N64*100/M64,0)</f>
        <v>68.127702422987937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IFERROR(__xludf.DUMMYFUNCTION("IMPORTRANGE(""https://docs.google.com/spreadsheets/d/1-uDff_7J0KD5mKrp0Vvzr7lt3OU09vwQwhkpOPPYv2Y/edit?usp=sharing"",""งบพรบ!AF68"")"),0)</f>
        <v>0</v>
      </c>
      <c r="M67" s="644">
        <f ca="1">IFERROR(__xludf.DUMMYFUNCTION("IMPORTRANGE(""https://docs.google.com/spreadsheets/d/1-uDff_7J0KD5mKrp0Vvzr7lt3OU09vwQwhkpOPPYv2Y/edit?usp=sharing"",""งบพรบ!AI68"")"),0)</f>
        <v>0</v>
      </c>
      <c r="N67" s="644">
        <f ca="1">IFERROR(__xludf.DUMMYFUNCTION("IMPORTRANGE(""https://docs.google.com/spreadsheets/d/1-uDff_7J0KD5mKrp0Vvzr7lt3OU09vwQwhkpOPPYv2Y/edit?usp=sharing"",""งบพรบ!AK68"")"),0)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1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51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556000</v>
      </c>
      <c r="M72" s="737">
        <f ca="1">M73+M74</f>
        <v>482300</v>
      </c>
      <c r="N72" s="737">
        <f ca="1">N73+N74</f>
        <v>98543.65</v>
      </c>
      <c r="O72" s="737">
        <f ca="1">IF(L72&gt;0,N72*100/L72,0)</f>
        <v>17.723678057553958</v>
      </c>
      <c r="P72" s="737">
        <f ca="1">IF(M72&gt;0,N72*100/M72,0)</f>
        <v>20.432023636740617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556000</v>
      </c>
      <c r="M74" s="427">
        <f ca="1">M77+M80</f>
        <v>482300</v>
      </c>
      <c r="N74" s="427">
        <f ca="1">N77+N80</f>
        <v>98543.65</v>
      </c>
      <c r="O74" s="427">
        <f ca="1">IF(L74&gt;0,N74*100/L74,0)</f>
        <v>17.723678057553958</v>
      </c>
      <c r="P74" s="427">
        <f ca="1">IF(M74&gt;0,N74*100/M74,0)</f>
        <v>20.432023636740617</v>
      </c>
    </row>
    <row r="75" spans="1:16" ht="18.75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556000</v>
      </c>
      <c r="M75" s="427">
        <f ca="1">M76+M77</f>
        <v>482300</v>
      </c>
      <c r="N75" s="427">
        <f ca="1">N76+N77</f>
        <v>98543.65</v>
      </c>
      <c r="O75" s="427">
        <f ca="1">IF(L75&gt;0,N75*100/L75,0)</f>
        <v>17.723678057553958</v>
      </c>
      <c r="P75" s="427">
        <f ca="1">IF(M75&gt;0,N75*100/M75,0)</f>
        <v>20.432023636740617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IFERROR(__xludf.DUMMYFUNCTION("IMPORTRANGE(""https://docs.google.com/spreadsheets/d/1-uDff_7J0KD5mKrp0Vvzr7lt3OU09vwQwhkpOPPYv2Y/edit?usp=sharing"",""งบพรบ!AM68"")"),556000)</f>
        <v>556000</v>
      </c>
      <c r="M77" s="427">
        <f ca="1">IFERROR(__xludf.DUMMYFUNCTION("IMPORTRANGE(""https://docs.google.com/spreadsheets/d/1-uDff_7J0KD5mKrp0Vvzr7lt3OU09vwQwhkpOPPYv2Y/edit?usp=sharing"",""งบพรบ!AR68"")"),482300)</f>
        <v>482300</v>
      </c>
      <c r="N77" s="427">
        <f ca="1">IFERROR(__xludf.DUMMYFUNCTION("IMPORTRANGE(""https://docs.google.com/spreadsheets/d/1-uDff_7J0KD5mKrp0Vvzr7lt3OU09vwQwhkpOPPYv2Y/edit?usp=sharing"",""งบพรบ!AT68"")"),98543.65)</f>
        <v>98543.65</v>
      </c>
      <c r="O77" s="427">
        <f ca="1">IF(L77&gt;0,N77*100/L77,0)</f>
        <v>17.723678057553958</v>
      </c>
      <c r="P77" s="427">
        <f ca="1">IF(M77&gt;0,N77*100/M77,0)</f>
        <v>20.432023636740617</v>
      </c>
    </row>
    <row r="78" spans="1:16" ht="18.75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IFERROR(__xludf.DUMMYFUNCTION("IMPORTRANGE(""https://docs.google.com/spreadsheets/d/1-uDff_7J0KD5mKrp0Vvzr7lt3OU09vwQwhkpOPPYv2Y/edit?usp=sharing"",""งบพรบ!AP68"")"),0)</f>
        <v>0</v>
      </c>
      <c r="M80" s="427">
        <f ca="1">IFERROR(__xludf.DUMMYFUNCTION("IMPORTRANGE(""https://docs.google.com/spreadsheets/d/1-uDff_7J0KD5mKrp0Vvzr7lt3OU09vwQwhkpOPPYv2Y/edit?usp=sharing"",""งบพรบ!AS68"")"),0)</f>
        <v>0</v>
      </c>
      <c r="N80" s="427">
        <f ca="1">IFERROR(__xludf.DUMMYFUNCTION("IMPORTRANGE(""https://docs.google.com/spreadsheets/d/1-uDff_7J0KD5mKrp0Vvzr7lt3OU09vwQwhkpOPPYv2Y/edit?usp=sharing"",""งบพรบ!AU68"")"),0)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1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51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IFERROR(__xludf.DUMMYFUNCTION("IMPORTRANGE(""https://docs.google.com/spreadsheets/d/1eHaY18a8A9IcSdp1K8H6x8fbOy06t2VsZHhMHf-1x7Y/edit?usp=sharing"",""แผน!H68"")"),0)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IFERROR(__xludf.DUMMYFUNCTION("IMPORTRANGE(""https://docs.google.com/spreadsheets/d/1eHaY18a8A9IcSdp1K8H6x8fbOy06t2VsZHhMHf-1x7Y/edit?usp=sharing"",""แผน!I68"")"),0)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IFERROR(__xludf.DUMMYFUNCTION("IMPORTRANGE(""https://docs.google.com/spreadsheets/d/1eHaY18a8A9IcSdp1K8H6x8fbOy06t2VsZHhMHf-1x7Y/edit?usp=sharing"",""แผน!F68"")"),0)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IFERROR(__xludf.DUMMYFUNCTION("IMPORTRANGE(""https://docs.google.com/spreadsheets/d/1eHaY18a8A9IcSdp1K8H6x8fbOy06t2VsZHhMHf-1x7Y/edit?usp=sharing"",""แผน!G68"")"),0)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IFERROR(__xludf.DUMMYFUNCTION("IMPORTRANGE(""https://docs.google.com/spreadsheets/d/1eHaY18a8A9IcSdp1K8H6x8fbOy06t2VsZHhMHf-1x7Y/edit?usp=sharing"",""แผน!D68"")"),1)</f>
        <v>1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IFERROR(__xludf.DUMMYFUNCTION("IMPORTRANGE(""https://docs.google.com/spreadsheets/d/1eHaY18a8A9IcSdp1K8H6x8fbOy06t2VsZHhMHf-1x7Y/edit?usp=sharing"",""แผน!E68"")"),51)</f>
        <v>51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IFERROR(__xludf.DUMMYFUNCTION("IMPORTRANGE(""https://docs.google.com/spreadsheets/d/1eHaY18a8A9IcSdp1K8H6x8fbOy06t2VsZHhMHf-1x7Y/edit?usp=sharing"",""แผน!J68"")"),1)</f>
        <v>1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IFERROR(__xludf.DUMMYFUNCTION("IMPORTRANGE(""https://docs.google.com/spreadsheets/d/1-uDff_7J0KD5mKrp0Vvzr7lt3OU09vwQwhkpOPPYv2Y/edit?usp=sharing"",""งบพรบ!AW68"")"),0)</f>
        <v>0</v>
      </c>
      <c r="M99" s="427">
        <f ca="1">IFERROR(__xludf.DUMMYFUNCTION("IMPORTRANGE(""https://docs.google.com/spreadsheets/d/1-uDff_7J0KD5mKrp0Vvzr7lt3OU09vwQwhkpOPPYv2Y/edit?usp=sharing"",""งบพรบ!BB68"")"),0)</f>
        <v>0</v>
      </c>
      <c r="N99" s="427">
        <f ca="1">IFERROR(__xludf.DUMMYFUNCTION("IMPORTRANGE(""https://docs.google.com/spreadsheets/d/1-uDff_7J0KD5mKrp0Vvzr7lt3OU09vwQwhkpOPPYv2Y/edit?usp=sharing"",""งบพรบ!BD68"")"),0)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IFERROR(__xludf.DUMMYFUNCTION("IMPORTRANGE(""https://docs.google.com/spreadsheets/d/1-uDff_7J0KD5mKrp0Vvzr7lt3OU09vwQwhkpOPPYv2Y/edit?usp=sharing"",""งบพรบ!AZ68"")"),0)</f>
        <v>0</v>
      </c>
      <c r="M102" s="427">
        <f ca="1">IFERROR(__xludf.DUMMYFUNCTION("IMPORTRANGE(""https://docs.google.com/spreadsheets/d/1-uDff_7J0KD5mKrp0Vvzr7lt3OU09vwQwhkpOPPYv2Y/edit?usp=sharing"",""งบพรบ!BC68"")"),0)</f>
        <v>0</v>
      </c>
      <c r="N102" s="427">
        <f ca="1">IFERROR(__xludf.DUMMYFUNCTION("IMPORTRANGE(""https://docs.google.com/spreadsheets/d/1-uDff_7J0KD5mKrp0Vvzr7lt3OU09vwQwhkpOPPYv2Y/edit?usp=sharing"",""งบพรบ!BE68"")"),0)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IFERROR(__xludf.DUMMYFUNCTION("IMPORTRANGE(""https://docs.google.com/spreadsheets/d/1eHaY18a8A9IcSdp1K8H6x8fbOy06t2VsZHhMHf-1x7Y/edit?usp=sharing"",""แผน!N68"")"),0)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IFERROR(__xludf.DUMMYFUNCTION("IMPORTRANGE(""https://docs.google.com/spreadsheets/d/1eHaY18a8A9IcSdp1K8H6x8fbOy06t2VsZHhMHf-1x7Y/edit?usp=sharing"",""แผน!O68"")"),0)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IFERROR(__xludf.DUMMYFUNCTION("IMPORTRANGE(""https://docs.google.com/spreadsheets/d/1eHaY18a8A9IcSdp1K8H6x8fbOy06t2VsZHhMHf-1x7Y/edit?usp=sharing"",""แผน!R68"")"),0)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IFERROR(__xludf.DUMMYFUNCTION("IMPORTRANGE(""https://docs.google.com/spreadsheets/d/1-uDff_7J0KD5mKrp0Vvzr7lt3OU09vwQwhkpOPPYv2Y/edit?usp=sharing"",""งบพรบ!BG68"")"),0)</f>
        <v>0</v>
      </c>
      <c r="M130" s="886">
        <f ca="1">IFERROR(__xludf.DUMMYFUNCTION("IMPORTRANGE(""https://docs.google.com/spreadsheets/d/1-uDff_7J0KD5mKrp0Vvzr7lt3OU09vwQwhkpOPPYv2Y/edit?usp=sharing"",""งบพรบ!BL68"")"),0)</f>
        <v>0</v>
      </c>
      <c r="N130" s="886">
        <f ca="1">IFERROR(__xludf.DUMMYFUNCTION("IMPORTRANGE(""https://docs.google.com/spreadsheets/d/1-uDff_7J0KD5mKrp0Vvzr7lt3OU09vwQwhkpOPPYv2Y/edit?usp=sharing"",""งบพรบ!BN68"")"),0)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IFERROR(__xludf.DUMMYFUNCTION("IMPORTRANGE(""https://docs.google.com/spreadsheets/d/1-uDff_7J0KD5mKrp0Vvzr7lt3OU09vwQwhkpOPPYv2Y/edit?usp=sharing"",""งบพรบ!BJ68"")"),0)</f>
        <v>0</v>
      </c>
      <c r="M133" s="886">
        <f ca="1">IFERROR(__xludf.DUMMYFUNCTION("IMPORTRANGE(""https://docs.google.com/spreadsheets/d/1-uDff_7J0KD5mKrp0Vvzr7lt3OU09vwQwhkpOPPYv2Y/edit?usp=sharing"",""งบพรบ!BM68"")"),0)</f>
        <v>0</v>
      </c>
      <c r="N133" s="886">
        <f ca="1">IFERROR(__xludf.DUMMYFUNCTION("IMPORTRANGE(""https://docs.google.com/spreadsheets/d/1-uDff_7J0KD5mKrp0Vvzr7lt3OU09vwQwhkpOPPYv2Y/edit?usp=sharing"",""งบพรบ!BO68"")"),0)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IFERROR(__xludf.DUMMYFUNCTION("IMPORTRANGE(""https://docs.google.com/spreadsheets/d/1-uDff_7J0KD5mKrp0Vvzr7lt3OU09vwQwhkpOPPYv2Y/edit?usp=sharing"",""งบพรบ!BQ68"")"),0)</f>
        <v>0</v>
      </c>
      <c r="M144" s="427">
        <f ca="1">IFERROR(__xludf.DUMMYFUNCTION("IMPORTRANGE(""https://docs.google.com/spreadsheets/d/1-uDff_7J0KD5mKrp0Vvzr7lt3OU09vwQwhkpOPPYv2Y/edit?usp=sharing"",""งบพรบ!BV68"")"),0)</f>
        <v>0</v>
      </c>
      <c r="N144" s="427">
        <f ca="1">IFERROR(__xludf.DUMMYFUNCTION("IMPORTRANGE(""https://docs.google.com/spreadsheets/d/1-uDff_7J0KD5mKrp0Vvzr7lt3OU09vwQwhkpOPPYv2Y/edit?usp=sharing"",""งบพรบ!BX68"")"),0)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IFERROR(__xludf.DUMMYFUNCTION("IMPORTRANGE(""https://docs.google.com/spreadsheets/d/1-uDff_7J0KD5mKrp0Vvzr7lt3OU09vwQwhkpOPPYv2Y/edit?usp=sharing"",""งบพรบ!BT68"")"),0)</f>
        <v>0</v>
      </c>
      <c r="M147" s="427">
        <f ca="1">IFERROR(__xludf.DUMMYFUNCTION("IMPORTRANGE(""https://docs.google.com/spreadsheets/d/1-uDff_7J0KD5mKrp0Vvzr7lt3OU09vwQwhkpOPPYv2Y/edit?usp=sharing"",""งบพรบ!BW68"")"),0)</f>
        <v>0</v>
      </c>
      <c r="N147" s="427">
        <f ca="1">IFERROR(__xludf.DUMMYFUNCTION("IMPORTRANGE(""https://docs.google.com/spreadsheets/d/1-uDff_7J0KD5mKrp0Vvzr7lt3OU09vwQwhkpOPPYv2Y/edit?usp=sharing"",""งบพรบ!BY68"")"),0)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IFERROR(__xludf.DUMMYFUNCTION("IMPORTRANGE(""https://docs.google.com/spreadsheets/d/1eHaY18a8A9IcSdp1K8H6x8fbOy06t2VsZHhMHf-1x7Y/edit?usp=sharing"",""แผน!U68"")"),0)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IFERROR(__xludf.DUMMYFUNCTION("IMPORTRANGE(""https://docs.google.com/spreadsheets/d/1eHaY18a8A9IcSdp1K8H6x8fbOy06t2VsZHhMHf-1x7Y/edit?usp=sharing"",""แผน!V68"")"),0)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IFERROR(__xludf.DUMMYFUNCTION("IMPORTRANGE(""https://docs.google.com/spreadsheets/d/1eHaY18a8A9IcSdp1K8H6x8fbOy06t2VsZHhMHf-1x7Y/edit?usp=sharing"",""แผน!W68"")"),0)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IFERROR(__xludf.DUMMYFUNCTION("IMPORTRANGE(""https://docs.google.com/spreadsheets/d/1eHaY18a8A9IcSdp1K8H6x8fbOy06t2VsZHhMHf-1x7Y/edit?usp=sharing"",""แผน!X68"")"),0)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IFERROR(__xludf.DUMMYFUNCTION("IMPORTRANGE(""https://docs.google.com/spreadsheets/d/1eHaY18a8A9IcSdp1K8H6x8fbOy06t2VsZHhMHf-1x7Y/edit?usp=sharing"",""แผน!Y68"")"),0)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IFERROR(__xludf.DUMMYFUNCTION("IMPORTRANGE(""https://docs.google.com/spreadsheets/d/1-uDff_7J0KD5mKrp0Vvzr7lt3OU09vwQwhkpOPPYv2Y/edit?usp=sharing"",""งบพรบ!CA68"")"),3000)</f>
        <v>3000</v>
      </c>
      <c r="M162" s="427">
        <f ca="1">IFERROR(__xludf.DUMMYFUNCTION("IMPORTRANGE(""https://docs.google.com/spreadsheets/d/1-uDff_7J0KD5mKrp0Vvzr7lt3OU09vwQwhkpOPPYv2Y/edit?usp=sharing"",""งบพรบ!CF68"")"),0)</f>
        <v>0</v>
      </c>
      <c r="N162" s="427">
        <f ca="1">IFERROR(__xludf.DUMMYFUNCTION("IMPORTRANGE(""https://docs.google.com/spreadsheets/d/1-uDff_7J0KD5mKrp0Vvzr7lt3OU09vwQwhkpOPPYv2Y/edit?usp=sharing"",""งบพรบ!CH68"")"),0)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IFERROR(__xludf.DUMMYFUNCTION("IMPORTRANGE(""https://docs.google.com/spreadsheets/d/1-uDff_7J0KD5mKrp0Vvzr7lt3OU09vwQwhkpOPPYv2Y/edit?usp=sharing"",""งบพรบ!CD68"")"),0)</f>
        <v>0</v>
      </c>
      <c r="M165" s="427">
        <f ca="1">IFERROR(__xludf.DUMMYFUNCTION("IMPORTRANGE(""https://docs.google.com/spreadsheets/d/1-uDff_7J0KD5mKrp0Vvzr7lt3OU09vwQwhkpOPPYv2Y/edit?usp=sharing"",""งบพรบ!CG68"")"),0)</f>
        <v>0</v>
      </c>
      <c r="N165" s="427">
        <f ca="1">IFERROR(__xludf.DUMMYFUNCTION("IMPORTRANGE(""https://docs.google.com/spreadsheets/d/1-uDff_7J0KD5mKrp0Vvzr7lt3OU09vwQwhkpOPPYv2Y/edit?usp=sharing"",""งบพรบ!CI68"")"),0)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IFERROR(__xludf.DUMMYFUNCTION("IMPORTRANGE(""https://docs.google.com/spreadsheets/d/1eHaY18a8A9IcSdp1K8H6x8fbOy06t2VsZHhMHf-1x7Y/edit?usp=sharing"",""แผน!Z68"")"),10)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18710</v>
      </c>
      <c r="O173" s="737">
        <f ca="1">IF(L173&gt;0,N173*100/L173,0)</f>
        <v>95.507912200102098</v>
      </c>
      <c r="P173" s="737">
        <f ca="1">IF(M173&gt;0,N173*100/M173,0)</f>
        <v>95.507912200102098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18710</v>
      </c>
      <c r="O175" s="427">
        <f ca="1">IF(L175&gt;0,N175*100/L175,0)</f>
        <v>95.507912200102098</v>
      </c>
      <c r="P175" s="427">
        <f ca="1">IF(M175&gt;0,N175*100/M175,0)</f>
        <v>95.507912200102098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18710</v>
      </c>
      <c r="O176" s="427">
        <f ca="1">IF(L176&gt;0,N176*100/L176,0)</f>
        <v>95.507912200102098</v>
      </c>
      <c r="P176" s="427">
        <f ca="1">IF(M176&gt;0,N176*100/M176,0)</f>
        <v>95.507912200102098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IFERROR(__xludf.DUMMYFUNCTION("IMPORTRANGE(""https://docs.google.com/spreadsheets/d/1-uDff_7J0KD5mKrp0Vvzr7lt3OU09vwQwhkpOPPYv2Y/edit?usp=sharing"",""งบพรบ!CK68"")"),19590)</f>
        <v>19590</v>
      </c>
      <c r="M178" s="427">
        <f ca="1">IFERROR(__xludf.DUMMYFUNCTION("IMPORTRANGE(""https://docs.google.com/spreadsheets/d/1-uDff_7J0KD5mKrp0Vvzr7lt3OU09vwQwhkpOPPYv2Y/edit?usp=sharing"",""งบพรบ!CP68"")"),19590)</f>
        <v>19590</v>
      </c>
      <c r="N178" s="427">
        <f ca="1">IFERROR(__xludf.DUMMYFUNCTION("IMPORTRANGE(""https://docs.google.com/spreadsheets/d/1-uDff_7J0KD5mKrp0Vvzr7lt3OU09vwQwhkpOPPYv2Y/edit?usp=sharing"",""งบพรบ!CR68"")"),18710)</f>
        <v>18710</v>
      </c>
      <c r="O178" s="427">
        <f ca="1">IF(L178&gt;0,N178*100/L178,0)</f>
        <v>95.507912200102098</v>
      </c>
      <c r="P178" s="427">
        <f ca="1">IF(M178&gt;0,N178*100/M178,0)</f>
        <v>95.507912200102098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IFERROR(__xludf.DUMMYFUNCTION("IMPORTRANGE(""https://docs.google.com/spreadsheets/d/1-uDff_7J0KD5mKrp0Vvzr7lt3OU09vwQwhkpOPPYv2Y/edit?usp=sharing"",""งบพรบ!CN68"")"),0)</f>
        <v>0</v>
      </c>
      <c r="M181" s="427">
        <f ca="1">IFERROR(__xludf.DUMMYFUNCTION("IMPORTRANGE(""https://docs.google.com/spreadsheets/d/1-uDff_7J0KD5mKrp0Vvzr7lt3OU09vwQwhkpOPPYv2Y/edit?usp=sharing"",""งบพรบ!CQ68"")"),0)</f>
        <v>0</v>
      </c>
      <c r="N181" s="427">
        <f ca="1">IFERROR(__xludf.DUMMYFUNCTION("IMPORTRANGE(""https://docs.google.com/spreadsheets/d/1-uDff_7J0KD5mKrp0Vvzr7lt3OU09vwQwhkpOPPYv2Y/edit?usp=sharing"",""งบพรบ!CS68"")"),0)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IFERROR(__xludf.DUMMYFUNCTION("IMPORTRANGE(""https://docs.google.com/spreadsheets/d/1eHaY18a8A9IcSdp1K8H6x8fbOy06t2VsZHhMHf-1x7Y/edit?usp=sharing"",""แผน!AA68"")"),7)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49500</v>
      </c>
      <c r="M186" s="737">
        <f ca="1">M187+M188</f>
        <v>22500</v>
      </c>
      <c r="N186" s="737">
        <f ca="1">N187+N188</f>
        <v>0</v>
      </c>
      <c r="O186" s="737">
        <f ca="1">IF(L186&gt;0,N186*100/L186,0)</f>
        <v>0</v>
      </c>
      <c r="P186" s="737">
        <f ca="1">IF(M186&gt;0,N186*100/M186,0)</f>
        <v>0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49500</v>
      </c>
      <c r="M188" s="427">
        <f ca="1">M191+M194</f>
        <v>22500</v>
      </c>
      <c r="N188" s="427">
        <f ca="1">N191+N194</f>
        <v>0</v>
      </c>
      <c r="O188" s="427">
        <f ca="1">IF(L188&gt;0,N188*100/L188,0)</f>
        <v>0</v>
      </c>
      <c r="P188" s="427">
        <f ca="1">IF(M188&gt;0,N188*100/M188,0)</f>
        <v>0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49500</v>
      </c>
      <c r="M189" s="427">
        <f ca="1">M190+M191</f>
        <v>22500</v>
      </c>
      <c r="N189" s="427">
        <f ca="1">N190+N191</f>
        <v>0</v>
      </c>
      <c r="O189" s="427">
        <f ca="1">IF(L189&gt;0,N189*100/L189,0)</f>
        <v>0</v>
      </c>
      <c r="P189" s="427">
        <f ca="1">IF(M189&gt;0,N189*100/M189,0)</f>
        <v>0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IFERROR(__xludf.DUMMYFUNCTION("IMPORTRANGE(""https://docs.google.com/spreadsheets/d/1-uDff_7J0KD5mKrp0Vvzr7lt3OU09vwQwhkpOPPYv2Y/edit?usp=sharing"",""งบพรบ!CU68"")"),49500)</f>
        <v>49500</v>
      </c>
      <c r="M191" s="427">
        <f ca="1">IFERROR(__xludf.DUMMYFUNCTION("IMPORTRANGE(""https://docs.google.com/spreadsheets/d/1-uDff_7J0KD5mKrp0Vvzr7lt3OU09vwQwhkpOPPYv2Y/edit?usp=sharing"",""งบพรบ!CZ68"")"),22500)</f>
        <v>22500</v>
      </c>
      <c r="N191" s="427">
        <f ca="1">IFERROR(__xludf.DUMMYFUNCTION("IMPORTRANGE(""https://docs.google.com/spreadsheets/d/1-uDff_7J0KD5mKrp0Vvzr7lt3OU09vwQwhkpOPPYv2Y/edit?usp=sharing"",""งบพรบ!DB68"")"),0)</f>
        <v>0</v>
      </c>
      <c r="O191" s="427">
        <f ca="1">IF(L191&gt;0,N191*100/L191,0)</f>
        <v>0</v>
      </c>
      <c r="P191" s="427">
        <f ca="1">IF(M191&gt;0,N191*100/M191,0)</f>
        <v>0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IFERROR(__xludf.DUMMYFUNCTION("IMPORTRANGE(""https://docs.google.com/spreadsheets/d/1-uDff_7J0KD5mKrp0Vvzr7lt3OU09vwQwhkpOPPYv2Y/edit?usp=sharing"",""งบพรบ!CX68"")"),0)</f>
        <v>0</v>
      </c>
      <c r="M194" s="427">
        <f ca="1">IFERROR(__xludf.DUMMYFUNCTION("IMPORTRANGE(""https://docs.google.com/spreadsheets/d/1-uDff_7J0KD5mKrp0Vvzr7lt3OU09vwQwhkpOPPYv2Y/edit?usp=sharing"",""งบพรบ!DA68"")"),0)</f>
        <v>0</v>
      </c>
      <c r="N194" s="427">
        <f ca="1">IFERROR(__xludf.DUMMYFUNCTION("IMPORTRANGE(""https://docs.google.com/spreadsheets/d/1-uDff_7J0KD5mKrp0Vvzr7lt3OU09vwQwhkpOPPYv2Y/edit?usp=sharing"",""งบพรบ!DC68"")"),0)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IFERROR(__xludf.DUMMYFUNCTION("IMPORTRANGE(""https://docs.google.com/spreadsheets/d/1eHaY18a8A9IcSdp1K8H6x8fbOy06t2VsZHhMHf-1x7Y/edit?usp=sharing"",""แผน!AB68"")"),6000)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IFERROR(__xludf.DUMMYFUNCTION("IMPORTRANGE(""https://docs.google.com/spreadsheets/d/1eHaY18a8A9IcSdp1K8H6x8fbOy06t2VsZHhMHf-1x7Y/edit?usp=sharing"",""แผน!AE68"")"),4)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2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31000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IFERROR(__xludf.DUMMYFUNCTION("IMPORTRANGE(""https://docs.google.com/spreadsheets/d/1eHaY18a8A9IcSdp1K8H6x8fbOy06t2VsZHhMHf-1x7Y/edit?usp=sharing"",""แผน!AG68"")"),2000)</f>
        <v>2000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IFERROR(__xludf.DUMMYFUNCTION("IMPORTRANGE(""https://docs.google.com/spreadsheets/d/1eHaY18a8A9IcSdp1K8H6x8fbOy06t2VsZHhMHf-1x7Y/edit?usp=sharing"",""แผน!AH68"")"),0)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IFERROR(__xludf.DUMMYFUNCTION("IMPORTRANGE(""https://docs.google.com/spreadsheets/d/1eHaY18a8A9IcSdp1K8H6x8fbOy06t2VsZHhMHf-1x7Y/edit?usp=sharing"",""แผน!AI68"")"),16000)</f>
        <v>16000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IFERROR(__xludf.DUMMYFUNCTION("IMPORTRANGE(""https://docs.google.com/spreadsheets/d/1eHaY18a8A9IcSdp1K8H6x8fbOy06t2VsZHhMHf-1x7Y/edit?usp=sharing"",""แผน!AJ68"")"),13000)</f>
        <v>13000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IFERROR(__xludf.DUMMYFUNCTION("IMPORTRANGE(""https://docs.google.com/spreadsheets/d/1eHaY18a8A9IcSdp1K8H6x8fbOy06t2VsZHhMHf-1x7Y/edit?usp=sharing"",""แผน!AK68"")"),2)</f>
        <v>2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IFERROR(__xludf.DUMMYFUNCTION("IMPORTRANGE(""https://docs.google.com/spreadsheets/d/1eHaY18a8A9IcSdp1K8H6x8fbOy06t2VsZHhMHf-1x7Y/edit?usp=sharing"",""แผน!JX68"")"),2)</f>
        <v>2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IFERROR(__xludf.DUMMYFUNCTION("IMPORTRANGE(""https://docs.google.com/spreadsheets/d/1eHaY18a8A9IcSdp1K8H6x8fbOy06t2VsZHhMHf-1x7Y/edit?usp=sharing"",""แผน!JY68"")"),1)</f>
        <v>1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IFERROR(__xludf.DUMMYFUNCTION("IMPORTRANGE(""https://docs.google.com/spreadsheets/d/1eHaY18a8A9IcSdp1K8H6x8fbOy06t2VsZHhMHf-1x7Y/edit?usp=sharing"",""แผน!AM68"")"),0)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IFERROR(__xludf.DUMMYFUNCTION("IMPORTRANGE(""https://docs.google.com/spreadsheets/d/1eHaY18a8A9IcSdp1K8H6x8fbOy06t2VsZHhMHf-1x7Y/edit?usp=sharing"",""แผน!AN68"")"),0)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IFERROR(__xludf.DUMMYFUNCTION("IMPORTRANGE(""https://docs.google.com/spreadsheets/d/1eHaY18a8A9IcSdp1K8H6x8fbOy06t2VsZHhMHf-1x7Y/edit?usp=sharing"",""แผน!AO68"")"),0)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IFERROR(__xludf.DUMMYFUNCTION("IMPORTRANGE(""https://docs.google.com/spreadsheets/d/1eHaY18a8A9IcSdp1K8H6x8fbOy06t2VsZHhMHf-1x7Y/edit?usp=sharing"",""แผน!AP68"")"),0)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IFERROR(__xludf.DUMMYFUNCTION("IMPORTRANGE(""https://docs.google.com/spreadsheets/d/1eHaY18a8A9IcSdp1K8H6x8fbOy06t2VsZHhMHf-1x7Y/edit?usp=sharing"",""แผน!AP68"")"),0)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100000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12500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IFERROR(__xludf.DUMMYFUNCTION("IMPORTRANGE(""https://docs.google.com/spreadsheets/d/1eHaY18a8A9IcSdp1K8H6x8fbOy06t2VsZHhMHf-1x7Y/edit?usp=sharing"",""แผน!AR68"")"),11000)</f>
        <v>11000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IFERROR(__xludf.DUMMYFUNCTION("IMPORTRANGE(""https://docs.google.com/spreadsheets/d/1eHaY18a8A9IcSdp1K8H6x8fbOy06t2VsZHhMHf-1x7Y/edit?usp=sharing"",""แผน!AS68"")"),1500)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IFERROR(__xludf.DUMMYFUNCTION("IMPORTRANGE(""https://docs.google.com/spreadsheets/d/1eHaY18a8A9IcSdp1K8H6x8fbOy06t2VsZHhMHf-1x7Y/edit?usp=sharing"",""แผน!AT68"")"),0)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IFERROR(__xludf.DUMMYFUNCTION("IMPORTRANGE(""https://docs.google.com/spreadsheets/d/1eHaY18a8A9IcSdp1K8H6x8fbOy06t2VsZHhMHf-1x7Y/edit?usp=sharing"",""แผน!AV68"")"),100000)</f>
        <v>100000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IFERROR(__xludf.DUMMYFUNCTION("IMPORTRANGE(""https://docs.google.com/spreadsheets/d/1eHaY18a8A9IcSdp1K8H6x8fbOy06t2VsZHhMHf-1x7Y/edit?usp=sharing"",""แผน!AV68"")"),100000)</f>
        <v>100000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IFERROR(__xludf.DUMMYFUNCTION("IMPORTRANGE(""https://docs.google.com/spreadsheets/d/1eHaY18a8A9IcSdp1K8H6x8fbOy06t2VsZHhMHf-1x7Y/edit?usp=sharing"",""แผน!AU68"")"),0)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IFERROR(__xludf.DUMMYFUNCTION("IMPORTRANGE(""https://docs.google.com/spreadsheets/d/1eHaY18a8A9IcSdp1K8H6x8fbOy06t2VsZHhMHf-1x7Y/edit?usp=sharing"",""แผน!AX68"")"),0)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IFERROR(__xludf.DUMMYFUNCTION("IMPORTRANGE(""https://docs.google.com/spreadsheets/d/1eHaY18a8A9IcSdp1K8H6x8fbOy06t2VsZHhMHf-1x7Y/edit?usp=sharing"",""แผน!AY68"")"),0)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IFERROR(__xludf.DUMMYFUNCTION("IMPORTRANGE(""https://docs.google.com/spreadsheets/d/1eHaY18a8A9IcSdp1K8H6x8fbOy06t2VsZHhMHf-1x7Y/edit?usp=sharing"",""แผน!AZ68"")"),0)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IFERROR(__xludf.DUMMYFUNCTION("IMPORTRANGE(""https://docs.google.com/spreadsheets/d/1eHaY18a8A9IcSdp1K8H6x8fbOy06t2VsZHhMHf-1x7Y/edit?usp=sharing"",""แผน!BA68"")"),0)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IFERROR(__xludf.DUMMYFUNCTION("IMPORTRANGE(""https://docs.google.com/spreadsheets/d/1eHaY18a8A9IcSdp1K8H6x8fbOy06t2VsZHhMHf-1x7Y/edit?usp=sharing"",""แผน!BG68"")"),0)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IFERROR(__xludf.DUMMYFUNCTION("IMPORTRANGE(""https://docs.google.com/spreadsheets/d/1eHaY18a8A9IcSdp1K8H6x8fbOy06t2VsZHhMHf-1x7Y/edit?usp=sharing"",""แผน!BB68"")"),0)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IFERROR(__xludf.DUMMYFUNCTION("IMPORTRANGE(""https://docs.google.com/spreadsheets/d/1eHaY18a8A9IcSdp1K8H6x8fbOy06t2VsZHhMHf-1x7Y/edit?usp=sharing"",""แผน!BC68"")"),0)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IFERROR(__xludf.DUMMYFUNCTION("IMPORTRANGE(""https://docs.google.com/spreadsheets/d/1eHaY18a8A9IcSdp1K8H6x8fbOy06t2VsZHhMHf-1x7Y/edit?usp=sharing"",""แผน!BD68"")"),0)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IFERROR(__xludf.DUMMYFUNCTION("IMPORTRANGE(""https://docs.google.com/spreadsheets/d/1eHaY18a8A9IcSdp1K8H6x8fbOy06t2VsZHhMHf-1x7Y/edit?usp=sharing"",""แผน!BE68"")"),0)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IFERROR(__xludf.DUMMYFUNCTION("IMPORTRANGE(""https://docs.google.com/spreadsheets/d/1eHaY18a8A9IcSdp1K8H6x8fbOy06t2VsZHhMHf-1x7Y/edit?usp=sharing"",""แผน!BH68"")"),0)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IFERROR(__xludf.DUMMYFUNCTION("IMPORTRANGE(""https://docs.google.com/spreadsheets/d/1-uDff_7J0KD5mKrp0Vvzr7lt3OU09vwQwhkpOPPYv2Y/edit?usp=sharing"",""งบพรบ!DE68"")"),0)</f>
        <v>0</v>
      </c>
      <c r="M271" s="522">
        <f ca="1">IFERROR(__xludf.DUMMYFUNCTION("IMPORTRANGE(""https://docs.google.com/spreadsheets/d/1-uDff_7J0KD5mKrp0Vvzr7lt3OU09vwQwhkpOPPYv2Y/edit?usp=sharing"",""งบพรบ!DJ68"")"),0)</f>
        <v>0</v>
      </c>
      <c r="N271" s="522">
        <f ca="1">IFERROR(__xludf.DUMMYFUNCTION("IMPORTRANGE(""https://docs.google.com/spreadsheets/d/1-uDff_7J0KD5mKrp0Vvzr7lt3OU09vwQwhkpOPPYv2Y/edit?usp=sharing"",""งบพรบ!DL68"")"),0)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IFERROR(__xludf.DUMMYFUNCTION("IMPORTRANGE(""https://docs.google.com/spreadsheets/d/1-uDff_7J0KD5mKrp0Vvzr7lt3OU09vwQwhkpOPPYv2Y/edit?usp=sharing"",""งบพรบ!DH68"")"),0)</f>
        <v>0</v>
      </c>
      <c r="M274" s="522">
        <f ca="1">IFERROR(__xludf.DUMMYFUNCTION("IMPORTRANGE(""https://docs.google.com/spreadsheets/d/1-uDff_7J0KD5mKrp0Vvzr7lt3OU09vwQwhkpOPPYv2Y/edit?usp=sharing"",""งบพรบ!DK68"")"),0)</f>
        <v>0</v>
      </c>
      <c r="N274" s="522">
        <f ca="1">IFERROR(__xludf.DUMMYFUNCTION("IMPORTRANGE(""https://docs.google.com/spreadsheets/d/1-uDff_7J0KD5mKrp0Vvzr7lt3OU09vwQwhkpOPPYv2Y/edit?usp=sharing"",""งบพรบ!DM68"")"),0)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IFERROR(__xludf.DUMMYFUNCTION("IMPORTRANGE(""https://docs.google.com/spreadsheets/d/1-uDff_7J0KD5mKrp0Vvzr7lt3OU09vwQwhkpOPPYv2Y/edit?usp=sharing"",""งบพรบ!DO68"")"),0)</f>
        <v>0</v>
      </c>
      <c r="M287" s="427">
        <f ca="1">IFERROR(__xludf.DUMMYFUNCTION("IMPORTRANGE(""https://docs.google.com/spreadsheets/d/1-uDff_7J0KD5mKrp0Vvzr7lt3OU09vwQwhkpOPPYv2Y/edit?usp=sharing"",""งบพรบ!DT68"")"),0)</f>
        <v>0</v>
      </c>
      <c r="N287" s="427">
        <f ca="1">IFERROR(__xludf.DUMMYFUNCTION("IMPORTRANGE(""https://docs.google.com/spreadsheets/d/1-uDff_7J0KD5mKrp0Vvzr7lt3OU09vwQwhkpOPPYv2Y/edit?usp=sharing"",""งบพรบ!DV68"")"),0)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IFERROR(__xludf.DUMMYFUNCTION("IMPORTRANGE(""https://docs.google.com/spreadsheets/d/1-uDff_7J0KD5mKrp0Vvzr7lt3OU09vwQwhkpOPPYv2Y/edit?usp=sharing"",""งบพรบ!DR68"")"),0)</f>
        <v>0</v>
      </c>
      <c r="M290" s="427">
        <f ca="1">IFERROR(__xludf.DUMMYFUNCTION("IMPORTRANGE(""https://docs.google.com/spreadsheets/d/1-uDff_7J0KD5mKrp0Vvzr7lt3OU09vwQwhkpOPPYv2Y/edit?usp=sharing"",""งบพรบ!DU68"")"),0)</f>
        <v>0</v>
      </c>
      <c r="N290" s="427">
        <f ca="1">IFERROR(__xludf.DUMMYFUNCTION("IMPORTRANGE(""https://docs.google.com/spreadsheets/d/1-uDff_7J0KD5mKrp0Vvzr7lt3OU09vwQwhkpOPPYv2Y/edit?usp=sharing"",""งบพรบ!DW68"")"),0)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IFERROR(__xludf.DUMMYFUNCTION("IMPORTRANGE(""https://docs.google.com/spreadsheets/d/1eHaY18a8A9IcSdp1K8H6x8fbOy06t2VsZHhMHf-1x7Y/edit?usp=sharing"",""แผน!EE68"")"),0)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IFERROR(__xludf.DUMMYFUNCTION("IMPORTRANGE(""https://docs.google.com/spreadsheets/d/1eHaY18a8A9IcSdp1K8H6x8fbOy06t2VsZHhMHf-1x7Y/edit?usp=sharing"",""แผน!ED68"")"),0)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IFERROR(__xludf.DUMMYFUNCTION("IMPORTRANGE(""https://docs.google.com/spreadsheets/d/1eHaY18a8A9IcSdp1K8H6x8fbOy06t2VsZHhMHf-1x7Y/edit?usp=sharing"",""แผน!ED68"")"),0)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IFERROR(__xludf.DUMMYFUNCTION("IMPORTRANGE(""https://docs.google.com/spreadsheets/d/1eHaY18a8A9IcSdp1K8H6x8fbOy06t2VsZHhMHf-1x7Y/edit?usp=sharing"",""แผน!ED68"")"),0)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25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203200</v>
      </c>
      <c r="M303" s="737">
        <f ca="1">M304+M305</f>
        <v>151500</v>
      </c>
      <c r="N303" s="737">
        <f ca="1">N304+N305</f>
        <v>14840</v>
      </c>
      <c r="O303" s="737">
        <f ca="1">IF(L303&gt;0,N303*100/L303,0)</f>
        <v>7.3031496062992129</v>
      </c>
      <c r="P303" s="737">
        <f ca="1">IF(M303&gt;0,N303*100/M303,0)</f>
        <v>9.7953795379537958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203200</v>
      </c>
      <c r="M305" s="427">
        <f ca="1">M308+M311</f>
        <v>151500</v>
      </c>
      <c r="N305" s="427">
        <f ca="1">N308+N311</f>
        <v>14840</v>
      </c>
      <c r="O305" s="427">
        <f ca="1">IF(L305&gt;0,N305*100/L305,0)</f>
        <v>7.3031496062992129</v>
      </c>
      <c r="P305" s="427">
        <f ca="1">IF(M305&gt;0,N305*100/M305,0)</f>
        <v>9.7953795379537958</v>
      </c>
    </row>
    <row r="306" spans="1:16" ht="18.75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203200</v>
      </c>
      <c r="M306" s="427">
        <f ca="1">M307+M308</f>
        <v>151500</v>
      </c>
      <c r="N306" s="427">
        <f ca="1">N307+N308</f>
        <v>14840</v>
      </c>
      <c r="O306" s="427">
        <f ca="1">IF(L306&gt;0,N306*100/L306,0)</f>
        <v>7.3031496062992129</v>
      </c>
      <c r="P306" s="427">
        <f ca="1">IF(M306&gt;0,N306*100/M306,0)</f>
        <v>9.7953795379537958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IFERROR(__xludf.DUMMYFUNCTION("IMPORTRANGE(""https://docs.google.com/spreadsheets/d/1-uDff_7J0KD5mKrp0Vvzr7lt3OU09vwQwhkpOPPYv2Y/edit?usp=sharing"",""งบพรบ!DY68"")"),203200)</f>
        <v>203200</v>
      </c>
      <c r="M308" s="427">
        <f ca="1">IFERROR(__xludf.DUMMYFUNCTION("IMPORTRANGE(""https://docs.google.com/spreadsheets/d/1-uDff_7J0KD5mKrp0Vvzr7lt3OU09vwQwhkpOPPYv2Y/edit?usp=sharing"",""งบพรบ!ED68"")"),151500)</f>
        <v>151500</v>
      </c>
      <c r="N308" s="427">
        <f ca="1">IFERROR(__xludf.DUMMYFUNCTION("IMPORTRANGE(""https://docs.google.com/spreadsheets/d/1-uDff_7J0KD5mKrp0Vvzr7lt3OU09vwQwhkpOPPYv2Y/edit?usp=sharing"",""งบพรบ!EF68"")"),14840)</f>
        <v>14840</v>
      </c>
      <c r="O308" s="427">
        <f ca="1">IF(L308&gt;0,N308*100/L308,0)</f>
        <v>7.3031496062992129</v>
      </c>
      <c r="P308" s="427">
        <f ca="1">IF(M308&gt;0,N308*100/M308,0)</f>
        <v>9.7953795379537958</v>
      </c>
    </row>
    <row r="309" spans="1:16" ht="18.75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IFERROR(__xludf.DUMMYFUNCTION("IMPORTRANGE(""https://docs.google.com/spreadsheets/d/1-uDff_7J0KD5mKrp0Vvzr7lt3OU09vwQwhkpOPPYv2Y/edit?usp=sharing"",""งบพรบ!EB68"")"),0)</f>
        <v>0</v>
      </c>
      <c r="M311" s="427">
        <f ca="1">IFERROR(__xludf.DUMMYFUNCTION("IMPORTRANGE(""https://docs.google.com/spreadsheets/d/1-uDff_7J0KD5mKrp0Vvzr7lt3OU09vwQwhkpOPPYv2Y/edit?usp=sharing"",""งบพรบ!EE68"")"),0)</f>
        <v>0</v>
      </c>
      <c r="N311" s="427">
        <f ca="1">IFERROR(__xludf.DUMMYFUNCTION("IMPORTRANGE(""https://docs.google.com/spreadsheets/d/1-uDff_7J0KD5mKrp0Vvzr7lt3OU09vwQwhkpOPPYv2Y/edit?usp=sharing"",""งบพรบ!EG68"")"),0)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IFERROR(__xludf.DUMMYFUNCTION("IMPORTRANGE(""https://docs.google.com/spreadsheets/d/1eHaY18a8A9IcSdp1K8H6x8fbOy06t2VsZHhMHf-1x7Y/edit?usp=sharing"",""แผน!EF68"")"),25)</f>
        <v>25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IFERROR(__xludf.DUMMYFUNCTION("IMPORTRANGE(""https://docs.google.com/spreadsheets/d/1eHaY18a8A9IcSdp1K8H6x8fbOy06t2VsZHhMHf-1x7Y/edit?usp=sharing"",""แผน!EG68"")"),5)</f>
        <v>5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IFERROR(__xludf.DUMMYFUNCTION("IMPORTRANGE(""https://docs.google.com/spreadsheets/d/1eHaY18a8A9IcSdp1K8H6x8fbOy06t2VsZHhMHf-1x7Y/edit?usp=sharing"",""แผน!EH68"")"),25)</f>
        <v>25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x14ac:dyDescent="0.25">
      <c r="A317" s="276"/>
      <c r="B317" s="280"/>
      <c r="C317" s="280"/>
      <c r="D317" s="336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IFERROR(__xludf.DUMMYFUNCTION("IMPORTRANGE(""https://docs.google.com/spreadsheets/d/1eHaY18a8A9IcSdp1K8H6x8fbOy06t2VsZHhMHf-1x7Y/edit?usp=sharing"",""แผน!EI68"")"),5)</f>
        <v>5</v>
      </c>
      <c r="J317" s="196">
        <v>0</v>
      </c>
      <c r="K317" s="61">
        <f ca="1">IF(I317&gt;0,J317*100/I317,0)</f>
        <v>0</v>
      </c>
      <c r="L317" s="58"/>
      <c r="M317" s="58"/>
      <c r="N317" s="58"/>
      <c r="O317" s="58"/>
      <c r="P317" s="58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IFERROR(__xludf.DUMMYFUNCTION("IMPORTRANGE(""https://docs.google.com/spreadsheets/d/1-uDff_7J0KD5mKrp0Vvzr7lt3OU09vwQwhkpOPPYv2Y/edit?usp=sharing"",""งบพรบ!EI68"")"),0)</f>
        <v>0</v>
      </c>
      <c r="M325" s="427">
        <f ca="1">IFERROR(__xludf.DUMMYFUNCTION("IMPORTRANGE(""https://docs.google.com/spreadsheets/d/1-uDff_7J0KD5mKrp0Vvzr7lt3OU09vwQwhkpOPPYv2Y/edit?usp=sharing"",""งบพรบ!EN68"")"),0)</f>
        <v>0</v>
      </c>
      <c r="N325" s="427">
        <f ca="1">IFERROR(__xludf.DUMMYFUNCTION("IMPORTRANGE(""https://docs.google.com/spreadsheets/d/1-uDff_7J0KD5mKrp0Vvzr7lt3OU09vwQwhkpOPPYv2Y/edit?usp=sharing"",""งบพรบ!EP68"")"),0)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IFERROR(__xludf.DUMMYFUNCTION("IMPORTRANGE(""https://docs.google.com/spreadsheets/d/1-uDff_7J0KD5mKrp0Vvzr7lt3OU09vwQwhkpOPPYv2Y/edit?usp=sharing"",""งบพรบ!EL68"")"),0)</f>
        <v>0</v>
      </c>
      <c r="M328" s="427">
        <f ca="1">IFERROR(__xludf.DUMMYFUNCTION("IMPORTRANGE(""https://docs.google.com/spreadsheets/d/1-uDff_7J0KD5mKrp0Vvzr7lt3OU09vwQwhkpOPPYv2Y/edit?usp=sharing"",""งบพรบ!EO68"")"),0)</f>
        <v>0</v>
      </c>
      <c r="N328" s="427">
        <f ca="1">IFERROR(__xludf.DUMMYFUNCTION("IMPORTRANGE(""https://docs.google.com/spreadsheets/d/1-uDff_7J0KD5mKrp0Vvzr7lt3OU09vwQwhkpOPPYv2Y/edit?usp=sharing"",""งบพรบ!EQ68"")"),0)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IFERROR(__xludf.DUMMYFUNCTION("IMPORTRANGE(""https://docs.google.com/spreadsheets/d/1eHaY18a8A9IcSdp1K8H6x8fbOy06t2VsZHhMHf-1x7Y/edit?usp=sharing"",""แผน!EJ68"")"),0)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1400</v>
      </c>
      <c r="J332" s="404">
        <f ca="1">J344+J347+J348+J349+J353</f>
        <v>3224</v>
      </c>
      <c r="K332" s="405">
        <f ca="1">IF(I332&gt;0,J332*100/I332,0)</f>
        <v>230.28571428571428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108000</v>
      </c>
      <c r="M333" s="737">
        <f ca="1">M334+M335</f>
        <v>85750</v>
      </c>
      <c r="N333" s="737">
        <f ca="1">N334+N335</f>
        <v>35740</v>
      </c>
      <c r="O333" s="737">
        <f ca="1">IF(L333&gt;0,N333*100/L333,0)</f>
        <v>33.092592592592595</v>
      </c>
      <c r="P333" s="737">
        <f ca="1">IF(M333&gt;0,N333*100/M333,0)</f>
        <v>41.679300291545189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108000</v>
      </c>
      <c r="M335" s="427">
        <f ca="1">M338+M341</f>
        <v>85750</v>
      </c>
      <c r="N335" s="427">
        <f ca="1">N338+N341</f>
        <v>35740</v>
      </c>
      <c r="O335" s="427">
        <f ca="1">IF(L335&gt;0,N335*100/L335,0)</f>
        <v>33.092592592592595</v>
      </c>
      <c r="P335" s="427">
        <f ca="1">IF(M335&gt;0,N335*100/M335,0)</f>
        <v>41.679300291545189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108000</v>
      </c>
      <c r="M336" s="427">
        <f ca="1">M337+M338</f>
        <v>85750</v>
      </c>
      <c r="N336" s="427">
        <f ca="1">N337+N338</f>
        <v>35740</v>
      </c>
      <c r="O336" s="427">
        <f ca="1">IF(L336&gt;0,N336*100/L336,0)</f>
        <v>33.092592592592595</v>
      </c>
      <c r="P336" s="427">
        <f ca="1">IF(M336&gt;0,N336*100/M336,0)</f>
        <v>41.679300291545189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IFERROR(__xludf.DUMMYFUNCTION("IMPORTRANGE(""https://docs.google.com/spreadsheets/d/1-uDff_7J0KD5mKrp0Vvzr7lt3OU09vwQwhkpOPPYv2Y/edit?usp=sharing"",""งบพรบ!ES68"")"),108000)</f>
        <v>108000</v>
      </c>
      <c r="M338" s="427">
        <f ca="1">IFERROR(__xludf.DUMMYFUNCTION("IMPORTRANGE(""https://docs.google.com/spreadsheets/d/1-uDff_7J0KD5mKrp0Vvzr7lt3OU09vwQwhkpOPPYv2Y/edit?usp=sharing"",""งบพรบ!EX68"")"),85750)</f>
        <v>85750</v>
      </c>
      <c r="N338" s="427">
        <f ca="1">IFERROR(__xludf.DUMMYFUNCTION("IMPORTRANGE(""https://docs.google.com/spreadsheets/d/1-uDff_7J0KD5mKrp0Vvzr7lt3OU09vwQwhkpOPPYv2Y/edit?usp=sharing"",""งบพรบ!EZ68"")"),35740)</f>
        <v>35740</v>
      </c>
      <c r="O338" s="427">
        <f ca="1">IF(L338&gt;0,N338*100/L338,0)</f>
        <v>33.092592592592595</v>
      </c>
      <c r="P338" s="427">
        <f ca="1">IF(M338&gt;0,N338*100/M338,0)</f>
        <v>41.679300291545189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IFERROR(__xludf.DUMMYFUNCTION("IMPORTRANGE(""https://docs.google.com/spreadsheets/d/1-uDff_7J0KD5mKrp0Vvzr7lt3OU09vwQwhkpOPPYv2Y/edit?usp=sharing"",""งบพรบ!EV68"")"),0)</f>
        <v>0</v>
      </c>
      <c r="M341" s="427">
        <f ca="1">IFERROR(__xludf.DUMMYFUNCTION("IMPORTRANGE(""https://docs.google.com/spreadsheets/d/1-uDff_7J0KD5mKrp0Vvzr7lt3OU09vwQwhkpOPPYv2Y/edit?usp=sharing"",""งบพรบ!EY68"")"),0)</f>
        <v>0</v>
      </c>
      <c r="N341" s="427">
        <f ca="1">IFERROR(__xludf.DUMMYFUNCTION("IMPORTRANGE(""https://docs.google.com/spreadsheets/d/1-uDff_7J0KD5mKrp0Vvzr7lt3OU09vwQwhkpOPPYv2Y/edit?usp=sharing"",""งบพรบ!FA68"")"),0)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714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IFERROR(__xludf.DUMMYFUNCTION("IMPORTRANGE(""https://docs.google.com/spreadsheets/d/1eHaY18a8A9IcSdp1K8H6x8fbOy06t2VsZHhMHf-1x7Y/edit?usp=sharing"",""แผน!EK68"")"),1400)</f>
        <v>1400</v>
      </c>
      <c r="J344" s="426">
        <f ca="1">IFERROR(__xludf.DUMMYFUNCTION("IMPORTRANGE(""https://docs.google.com/spreadsheets/d/1awYsYK3VOup2i3Pq_Yjnu8DRu_mYwSBnCR2QPthd0rU/edit?usp=sharing"",""ศูนย์ยกเว้นโฉนด!D68"")"),711)</f>
        <v>711</v>
      </c>
      <c r="K344" s="427">
        <f ca="1">IF(I344&gt;0,J344*100/I344,0)</f>
        <v>50.785714285714285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IFERROR(__xludf.DUMMYFUNCTION("IMPORTRANGE(""https://docs.google.com/spreadsheets/d/1eHaY18a8A9IcSdp1K8H6x8fbOy06t2VsZHhMHf-1x7Y/edit?usp=sharing"",""แผน!EL68"")"),4)</f>
        <v>4</v>
      </c>
      <c r="J346" s="426">
        <f ca="1">IFERROR(__xludf.DUMMYFUNCTION("IMPORTRANGE(""https://docs.google.com/spreadsheets/d/1awYsYK3VOup2i3Pq_Yjnu8DRu_mYwSBnCR2QPthd0rU/edit?usp=sharing"",""ศูนย์รวม!E68"")"),5)</f>
        <v>5</v>
      </c>
      <c r="K346" s="427">
        <f ca="1">IF(I346&gt;0,J346*100/I346,0)</f>
        <v>125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IFERROR(__xludf.DUMMYFUNCTION("IMPORTRANGE(""https://docs.google.com/spreadsheets/d/1awYsYK3VOup2i3Pq_Yjnu8DRu_mYwSBnCR2QPthd0rU/edit?usp=sharing"",""ศูนย์ยกเว้นโฉนด!F68"")"),3)</f>
        <v>3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IFERROR(__xludf.DUMMYFUNCTION("IMPORTRANGE(""https://docs.google.com/spreadsheets/d/1awYsYK3VOup2i3Pq_Yjnu8DRu_mYwSBnCR2QPthd0rU/edit?usp=sharing"",""ศูนย์ยกเว้นโฉนด!G68"")"),0)</f>
        <v>0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IFERROR(__xludf.DUMMYFUNCTION("IMPORTRANGE(""https://docs.google.com/spreadsheets/d/1awYsYK3VOup2i3Pq_Yjnu8DRu_mYwSBnCR2QPthd0rU/edit?usp=sharing"",""ศูนย์ยกเว้นโฉนด!H68"")"),0)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3400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IFERROR(__xludf.DUMMYFUNCTION("IMPORTRANGE(""https://docs.google.com/spreadsheets/d/1awYsYK3VOup2i3Pq_Yjnu8DRu_mYwSBnCR2QPthd0rU/edit?usp=sharing"",""โฉนดM3!G68"")"),890)</f>
        <v>890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IFERROR(__xludf.DUMMYFUNCTION("IMPORTRANGE(""https://docs.google.com/spreadsheets/d/1awYsYK3VOup2i3Pq_Yjnu8DRu_mYwSBnCR2QPthd0rU/edit?usp=sharing"",""โฉนดM3!H68"")"),2510)</f>
        <v>2510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563400</v>
      </c>
      <c r="M356" s="737">
        <f ca="1">M357+M358</f>
        <v>449720</v>
      </c>
      <c r="N356" s="737">
        <f ca="1">N357+N358</f>
        <v>169416</v>
      </c>
      <c r="O356" s="737">
        <f ca="1">IF(L356&gt;0,N356*100/L356,0)</f>
        <v>30.070287539936103</v>
      </c>
      <c r="P356" s="737">
        <f ca="1">IF(M356&gt;0,N356*100/M356,0)</f>
        <v>37.671440007115535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563400</v>
      </c>
      <c r="M358" s="427">
        <f ca="1">M361+M364</f>
        <v>449720</v>
      </c>
      <c r="N358" s="427">
        <f ca="1">N361+N364</f>
        <v>169416</v>
      </c>
      <c r="O358" s="427">
        <f ca="1">IF(L358&gt;0,N358*100/L358,0)</f>
        <v>30.070287539936103</v>
      </c>
      <c r="P358" s="427">
        <f ca="1">IF(M358&gt;0,N358*100/M358,0)</f>
        <v>37.671440007115535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563400</v>
      </c>
      <c r="M359" s="427">
        <f ca="1">M360+M361</f>
        <v>449720</v>
      </c>
      <c r="N359" s="427">
        <f ca="1">N360+N361</f>
        <v>169416</v>
      </c>
      <c r="O359" s="427">
        <f ca="1">IF(L359&gt;0,N359*100/L359,0)</f>
        <v>30.070287539936103</v>
      </c>
      <c r="P359" s="427">
        <f ca="1">IF(M359&gt;0,N359*100/M359,0)</f>
        <v>37.671440007115535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IFERROR(__xludf.DUMMYFUNCTION("IMPORTRANGE(""https://docs.google.com/spreadsheets/d/1-uDff_7J0KD5mKrp0Vvzr7lt3OU09vwQwhkpOPPYv2Y/edit?usp=sharing"",""งบพรบ!FC68"")"),563400)</f>
        <v>563400</v>
      </c>
      <c r="M361" s="427">
        <f ca="1">IFERROR(__xludf.DUMMYFUNCTION("IMPORTRANGE(""https://docs.google.com/spreadsheets/d/1-uDff_7J0KD5mKrp0Vvzr7lt3OU09vwQwhkpOPPYv2Y/edit?usp=sharing"",""งบพรบ!FH68"")"),449720)</f>
        <v>449720</v>
      </c>
      <c r="N361" s="427">
        <f ca="1">IFERROR(__xludf.DUMMYFUNCTION("IMPORTRANGE(""https://docs.google.com/spreadsheets/d/1-uDff_7J0KD5mKrp0Vvzr7lt3OU09vwQwhkpOPPYv2Y/edit?usp=sharing"",""งบพรบ!FJ68"")"),169416)</f>
        <v>169416</v>
      </c>
      <c r="O361" s="427">
        <f ca="1">IF(L361&gt;0,N361*100/L361,0)</f>
        <v>30.070287539936103</v>
      </c>
      <c r="P361" s="427">
        <f ca="1">IF(M361&gt;0,N361*100/M361,0)</f>
        <v>37.671440007115535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IFERROR(__xludf.DUMMYFUNCTION("IMPORTRANGE(""https://docs.google.com/spreadsheets/d/1-uDff_7J0KD5mKrp0Vvzr7lt3OU09vwQwhkpOPPYv2Y/edit?usp=sharing"",""งบพรบ!FF68"")"),0)</f>
        <v>0</v>
      </c>
      <c r="M364" s="427">
        <f ca="1">IFERROR(__xludf.DUMMYFUNCTION("IMPORTRANGE(""https://docs.google.com/spreadsheets/d/1-uDff_7J0KD5mKrp0Vvzr7lt3OU09vwQwhkpOPPYv2Y/edit?usp=sharing"",""งบพรบ!FI68"")"),0)</f>
        <v>0</v>
      </c>
      <c r="N364" s="427">
        <f ca="1">IFERROR(__xludf.DUMMYFUNCTION("IMPORTRANGE(""https://docs.google.com/spreadsheets/d/1-uDff_7J0KD5mKrp0Vvzr7lt3OU09vwQwhkpOPPYv2Y/edit?usp=sharing"",""งบพรบ!FK68"")"),0)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125</v>
      </c>
      <c r="J365" s="440">
        <f ca="1">J371</f>
        <v>44</v>
      </c>
      <c r="K365" s="441">
        <f ca="1">IF(I365&gt;0,J365*100/I365,0)</f>
        <v>35.200000000000003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IFERROR(__xludf.DUMMYFUNCTION("IMPORTRANGE(""https://docs.google.com/spreadsheets/d/1tdoBKaGub7dwA3U6UFTqxio9LNnvDCQjHKmttSEBsFQ/edit?usp=sharing"",""จัดที่ดิน!AB68"")"),21)</f>
        <v>21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IFERROR(__xludf.DUMMYFUNCTION("IMPORTRANGE(""https://docs.google.com/spreadsheets/d/1eHaY18a8A9IcSdp1K8H6x8fbOy06t2VsZHhMHf-1x7Y/edit?usp=sharing"",""แผน!EW68"")"),1065)</f>
        <v>1065</v>
      </c>
      <c r="J368" s="726">
        <f ca="1">IFERROR(__xludf.DUMMYFUNCTION("IMPORTRANGE(""https://docs.google.com/spreadsheets/d/1tdoBKaGub7dwA3U6UFTqxio9LNnvDCQjHKmttSEBsFQ/edit?usp=sharing"",""จัดที่ดิน!AC68"")"),261.46)</f>
        <v>261.45999999999998</v>
      </c>
      <c r="K368" s="427">
        <f ca="1">IF(I368&gt;0,J368*100/I368,0)</f>
        <v>24.550234741784035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IFERROR(__xludf.DUMMYFUNCTION("IMPORTRANGE(""https://docs.google.com/spreadsheets/d/1eHaY18a8A9IcSdp1K8H6x8fbOy06t2VsZHhMHf-1x7Y/edit?usp=sharing"",""แผน!EX68"")"),195)</f>
        <v>195</v>
      </c>
      <c r="J369" s="426">
        <f ca="1">IFERROR(__xludf.DUMMYFUNCTION("IMPORTRANGE(""https://docs.google.com/spreadsheets/d/1tdoBKaGub7dwA3U6UFTqxio9LNnvDCQjHKmttSEBsFQ/edit?usp=sharing"",""จัดที่ดิน!AD68"")"),59)</f>
        <v>59</v>
      </c>
      <c r="K369" s="427">
        <f ca="1">IF(I369&gt;0,J369*100/I369,0)</f>
        <v>30.256410256410255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IFERROR(__xludf.DUMMYFUNCTION("IMPORTRANGE(""https://docs.google.com/spreadsheets/d/1tdoBKaGub7dwA3U6UFTqxio9LNnvDCQjHKmttSEBsFQ/edit?usp=sharing"",""จัดที่ดิน!AE68"")"),1097.93)</f>
        <v>1097.93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IFERROR(__xludf.DUMMYFUNCTION("IMPORTRANGE(""https://docs.google.com/spreadsheets/d/1eHaY18a8A9IcSdp1K8H6x8fbOy06t2VsZHhMHf-1x7Y/edit?usp=sharing"",""แผน!EY68"")"),125)</f>
        <v>125</v>
      </c>
      <c r="J371" s="426">
        <f ca="1">IFERROR(__xludf.DUMMYFUNCTION("IMPORTRANGE(""https://docs.google.com/spreadsheets/d/1tdoBKaGub7dwA3U6UFTqxio9LNnvDCQjHKmttSEBsFQ/edit?usp=sharing"",""จัดที่ดิน!AF68"")"),44)</f>
        <v>44</v>
      </c>
      <c r="K371" s="427">
        <f ca="1">IF(I371&gt;0,J371*100/I371,0)</f>
        <v>35.200000000000003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IFERROR(__xludf.DUMMYFUNCTION("IMPORTRANGE(""https://docs.google.com/spreadsheets/d/1tdoBKaGub7dwA3U6UFTqxio9LNnvDCQjHKmttSEBsFQ/edit?usp=sharing"",""จัดที่ดิน!AG68"")"),908.75)</f>
        <v>908.75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IFERROR(__xludf.DUMMYFUNCTION("IMPORTRANGE(""https://docs.google.com/spreadsheets/d/1-uDff_7J0KD5mKrp0Vvzr7lt3OU09vwQwhkpOPPYv2Y/edit?usp=sharing"",""งบพรบ!FM68"")"),0)</f>
        <v>0</v>
      </c>
      <c r="M382" s="522">
        <f ca="1">IFERROR(__xludf.DUMMYFUNCTION("IMPORTRANGE(""https://docs.google.com/spreadsheets/d/1-uDff_7J0KD5mKrp0Vvzr7lt3OU09vwQwhkpOPPYv2Y/edit?usp=sharing"",""งบพรบ!FR68"")"),0)</f>
        <v>0</v>
      </c>
      <c r="N382" s="522">
        <f ca="1">IFERROR(__xludf.DUMMYFUNCTION("IMPORTRANGE(""https://docs.google.com/spreadsheets/d/1-uDff_7J0KD5mKrp0Vvzr7lt3OU09vwQwhkpOPPYv2Y/edit?usp=sharing"",""งบพรบ!FT68"")"),0)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IFERROR(__xludf.DUMMYFUNCTION("IMPORTRANGE(""https://docs.google.com/spreadsheets/d/1-uDff_7J0KD5mKrp0Vvzr7lt3OU09vwQwhkpOPPYv2Y/edit?usp=sharing"",""งบพรบ!FP68"")"),0)</f>
        <v>0</v>
      </c>
      <c r="M385" s="522">
        <f ca="1">IFERROR(__xludf.DUMMYFUNCTION("IMPORTRANGE(""https://docs.google.com/spreadsheets/d/1-uDff_7J0KD5mKrp0Vvzr7lt3OU09vwQwhkpOPPYv2Y/edit?usp=sharing"",""งบพรบ!FS68"")"),0)</f>
        <v>0</v>
      </c>
      <c r="N385" s="522">
        <f ca="1">IFERROR(__xludf.DUMMYFUNCTION("IMPORTRANGE(""https://docs.google.com/spreadsheets/d/1-uDff_7J0KD5mKrp0Vvzr7lt3OU09vwQwhkpOPPYv2Y/edit?usp=sharing"",""งบพรบ!FU68"")"),0)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EA17A-6501-4B7D-9FE4-A037C507D11F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182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9.5" hidden="1" x14ac:dyDescent="0.3">
      <c r="A9" s="953"/>
      <c r="B9" s="786"/>
      <c r="C9" s="786"/>
      <c r="D9" s="786"/>
      <c r="E9" s="786"/>
      <c r="F9" s="786"/>
      <c r="G9" s="998"/>
      <c r="H9" s="998"/>
      <c r="I9" s="998"/>
      <c r="J9" s="998"/>
      <c r="K9" s="998"/>
      <c r="L9" s="998"/>
      <c r="M9" s="998"/>
      <c r="N9" s="998"/>
      <c r="O9" s="998"/>
      <c r="P9" s="998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2623279</v>
      </c>
      <c r="M18" s="865">
        <f ca="1">M19+M20</f>
        <v>2251256</v>
      </c>
      <c r="N18" s="865">
        <f ca="1">N19+N20</f>
        <v>675330.01</v>
      </c>
      <c r="O18" s="865">
        <f ca="1">IF(L18&gt;0,N18*100/L18,0)</f>
        <v>25.743735607230494</v>
      </c>
      <c r="P18" s="865">
        <f ca="1">IF(M18&gt;0,N18*100/M18,0)</f>
        <v>29.997921604650916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2623279</v>
      </c>
      <c r="M20" s="972">
        <f ca="1">M23+M26</f>
        <v>2251256</v>
      </c>
      <c r="N20" s="972">
        <f ca="1">N23+N26</f>
        <v>675330.01</v>
      </c>
      <c r="O20" s="972">
        <f ca="1">IF(L20&gt;0,N20*100/L20,0)</f>
        <v>25.743735607230494</v>
      </c>
      <c r="P20" s="972">
        <f ca="1">IF(M20&gt;0,N20*100/M20,0)</f>
        <v>29.997921604650916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2623279</v>
      </c>
      <c r="M21" s="427">
        <f ca="1">M22+M23</f>
        <v>2251256</v>
      </c>
      <c r="N21" s="427">
        <f ca="1">N22+N23</f>
        <v>675330.01</v>
      </c>
      <c r="O21" s="427">
        <f ca="1">IF(L21&gt;0,N21*100/L21,0)</f>
        <v>25.743735607230494</v>
      </c>
      <c r="P21" s="427">
        <f ca="1">IF(M21&gt;0,N21*100/M21,0)</f>
        <v>29.997921604650916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2623279</v>
      </c>
      <c r="M23" s="427">
        <f ca="1">M49+M64+M77+M99+M130+M144+M162+M191+M178+M271+M287+M308+M325+M338+M361+M382</f>
        <v>2251256</v>
      </c>
      <c r="N23" s="427">
        <f ca="1">N49+N64+N77+N99+N130+N144+N162+N191+N178+N271+N287+N308+N325+N338+N361+N382</f>
        <v>675330.01</v>
      </c>
      <c r="O23" s="427">
        <f ca="1">IF(L23&gt;0,N23*100/L23,0)</f>
        <v>25.743735607230494</v>
      </c>
      <c r="P23" s="427">
        <f ca="1">IF(M23&gt;0,N23*100/M23,0)</f>
        <v>29.997921604650916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2623279</v>
      </c>
      <c r="M40" s="964">
        <f ca="1">M44+M59+M72+M94+M125+M139+M157+M173+M186+M266+M282+M303+M320+M333+M356</f>
        <v>2251256</v>
      </c>
      <c r="N40" s="964">
        <f ca="1">N44+N59+N72+N94+N125+N139+N157+N173+N186+N266+N282+N303+N320+N333+N356</f>
        <v>675330.01</v>
      </c>
      <c r="O40" s="964">
        <f ca="1">IF(L40&gt;0,N40*100/L40,0)</f>
        <v>25.743735607230494</v>
      </c>
      <c r="P40" s="964">
        <f ca="1">IF(M40&gt;0,N40*100/M40,0)</f>
        <v>29.997921604650916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276409</v>
      </c>
      <c r="M44" s="949">
        <f ca="1">M45+M46</f>
        <v>285186</v>
      </c>
      <c r="N44" s="949">
        <f ca="1">N45+N46</f>
        <v>134740</v>
      </c>
      <c r="O44" s="949">
        <f ca="1">IF(L44&gt;0,N44*100/L44,0)</f>
        <v>48.74660376471099</v>
      </c>
      <c r="P44" s="949">
        <f ca="1">IF(M44&gt;0,N44*100/M44,0)</f>
        <v>47.246358516897743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276409</v>
      </c>
      <c r="M46" s="941">
        <f ca="1">M49+M52</f>
        <v>285186</v>
      </c>
      <c r="N46" s="941">
        <f ca="1">N49+N52</f>
        <v>134740</v>
      </c>
      <c r="O46" s="941">
        <f ca="1">IF(L46&gt;0,N46*100/L46,0)</f>
        <v>48.74660376471099</v>
      </c>
      <c r="P46" s="941">
        <f ca="1">IF(M46&gt;0,N46*100/M46,0)</f>
        <v>47.246358516897743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276409</v>
      </c>
      <c r="M47" s="427">
        <f ca="1">M48+M49</f>
        <v>285186</v>
      </c>
      <c r="N47" s="427">
        <f ca="1">N48+N49</f>
        <v>134740</v>
      </c>
      <c r="O47" s="427">
        <f ca="1">IF(L47&gt;0,N47*100/L47,0)</f>
        <v>48.74660376471099</v>
      </c>
      <c r="P47" s="427">
        <f ca="1">IF(M47&gt;0,N47*100/M47,0)</f>
        <v>47.246358516897743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IFERROR(__xludf.DUMMYFUNCTION("IMPORTRANGE(""https://docs.google.com/spreadsheets/d/1-uDff_7J0KD5mKrp0Vvzr7lt3OU09vwQwhkpOPPYv2Y/edit?usp=sharing"",""งบพรบ!P69"")"),276409)</f>
        <v>276409</v>
      </c>
      <c r="M49" s="427">
        <f ca="1">IFERROR(__xludf.DUMMYFUNCTION("IMPORTRANGE(""https://docs.google.com/spreadsheets/d/1-uDff_7J0KD5mKrp0Vvzr7lt3OU09vwQwhkpOPPYv2Y/edit?usp=sharing"",""งบพรบ!V69"")"),285186)</f>
        <v>285186</v>
      </c>
      <c r="N49" s="427">
        <f ca="1">IFERROR(__xludf.DUMMYFUNCTION("IMPORTRANGE(""https://docs.google.com/spreadsheets/d/1-uDff_7J0KD5mKrp0Vvzr7lt3OU09vwQwhkpOPPYv2Y/edit?usp=sharing"",""งบพรบ!Y69"")"),134740)</f>
        <v>134740</v>
      </c>
      <c r="O49" s="427">
        <f ca="1">IF(L49&gt;0,N49*100/L49,0)</f>
        <v>48.74660376471099</v>
      </c>
      <c r="P49" s="427">
        <f ca="1">IF(M49&gt;0,N49*100/M49,0)</f>
        <v>47.246358516897743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IFERROR(__xludf.DUMMYFUNCTION("IMPORTRANGE(""https://docs.google.com/spreadsheets/d/1-uDff_7J0KD5mKrp0Vvzr7lt3OU09vwQwhkpOPPYv2Y/edit?usp=sharing"",""งบพรบ!S69"")"),0)</f>
        <v>0</v>
      </c>
      <c r="M52" s="427">
        <f ca="1">IFERROR(__xludf.DUMMYFUNCTION("IMPORTRANGE(""https://docs.google.com/spreadsheets/d/1-uDff_7J0KD5mKrp0Vvzr7lt3OU09vwQwhkpOPPYv2Y/edit?usp=sharing"",""งบพรบ!W69"")"),0)</f>
        <v>0</v>
      </c>
      <c r="N52" s="427">
        <f ca="1">IFERROR(__xludf.DUMMYFUNCTION("IMPORTRANGE(""https://docs.google.com/spreadsheets/d/1-uDff_7J0KD5mKrp0Vvzr7lt3OU09vwQwhkpOPPYv2Y/edit?usp=sharing"",""งบพรบ!Z69"")"),0)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558400</v>
      </c>
      <c r="M59" s="921">
        <f ca="1">M60+M61</f>
        <v>420850</v>
      </c>
      <c r="N59" s="921">
        <f ca="1">N60+N61</f>
        <v>237932.87</v>
      </c>
      <c r="O59" s="921">
        <f ca="1">IF(L59&gt;0,N59*100/L59,0)</f>
        <v>42.609754656160462</v>
      </c>
      <c r="P59" s="921">
        <f ca="1">IF(M59&gt;0,N59*100/M59,0)</f>
        <v>56.536264702388024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558400</v>
      </c>
      <c r="M61" s="913">
        <f ca="1">M64+M67</f>
        <v>420850</v>
      </c>
      <c r="N61" s="913">
        <f ca="1">N64+N67</f>
        <v>237932.87</v>
      </c>
      <c r="O61" s="913">
        <f ca="1">IF(L61&gt;0,N61*100/L61,0)</f>
        <v>42.609754656160462</v>
      </c>
      <c r="P61" s="913">
        <f ca="1">IF(M61&gt;0,N61*100/M61,0)</f>
        <v>56.536264702388024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558400</v>
      </c>
      <c r="M62" s="427">
        <f ca="1">M63+M64</f>
        <v>420850</v>
      </c>
      <c r="N62" s="427">
        <f ca="1">N63+N64</f>
        <v>237932.87</v>
      </c>
      <c r="O62" s="427">
        <f ca="1">IF(L62&gt;0,N62*100/L62,0)</f>
        <v>42.609754656160462</v>
      </c>
      <c r="P62" s="427">
        <f ca="1">IF(M62&gt;0,N62*100/M62,0)</f>
        <v>56.536264702388024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IFERROR(__xludf.DUMMYFUNCTION("IMPORTRANGE(""https://docs.google.com/spreadsheets/d/1-uDff_7J0KD5mKrp0Vvzr7lt3OU09vwQwhkpOPPYv2Y/edit?usp=sharing"",""งบพรบ!AC69"")"),558400)</f>
        <v>558400</v>
      </c>
      <c r="M64" s="427">
        <f ca="1">IFERROR(__xludf.DUMMYFUNCTION("IMPORTRANGE(""https://docs.google.com/spreadsheets/d/1-uDff_7J0KD5mKrp0Vvzr7lt3OU09vwQwhkpOPPYv2Y/edit?usp=sharing"",""งบพรบ!AH69"")"),420850)</f>
        <v>420850</v>
      </c>
      <c r="N64" s="427">
        <f ca="1">IFERROR(__xludf.DUMMYFUNCTION("IMPORTRANGE(""https://docs.google.com/spreadsheets/d/1-uDff_7J0KD5mKrp0Vvzr7lt3OU09vwQwhkpOPPYv2Y/edit?usp=sharing"",""งบพรบ!AJ69"")"),237932.87)</f>
        <v>237932.87</v>
      </c>
      <c r="O64" s="427">
        <f ca="1">IF(L64&gt;0,N64*100/L64,0)</f>
        <v>42.609754656160462</v>
      </c>
      <c r="P64" s="427">
        <f ca="1">IF(M64&gt;0,N64*100/M64,0)</f>
        <v>56.536264702388024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IFERROR(__xludf.DUMMYFUNCTION("IMPORTRANGE(""https://docs.google.com/spreadsheets/d/1-uDff_7J0KD5mKrp0Vvzr7lt3OU09vwQwhkpOPPYv2Y/edit?usp=sharing"",""งบพรบ!AF69"")"),0)</f>
        <v>0</v>
      </c>
      <c r="M67" s="644">
        <f ca="1">IFERROR(__xludf.DUMMYFUNCTION("IMPORTRANGE(""https://docs.google.com/spreadsheets/d/1-uDff_7J0KD5mKrp0Vvzr7lt3OU09vwQwhkpOPPYv2Y/edit?usp=sharing"",""งบพรบ!AI69"")"),0)</f>
        <v>0</v>
      </c>
      <c r="N67" s="644">
        <f ca="1">IFERROR(__xludf.DUMMYFUNCTION("IMPORTRANGE(""https://docs.google.com/spreadsheets/d/1-uDff_7J0KD5mKrp0Vvzr7lt3OU09vwQwhkpOPPYv2Y/edit?usp=sharing"",""งบพรบ!AK69"")"),0)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1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69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650300</v>
      </c>
      <c r="M72" s="737">
        <f ca="1">M73+M74</f>
        <v>563700</v>
      </c>
      <c r="N72" s="737">
        <f ca="1">N73+N74</f>
        <v>112123.81</v>
      </c>
      <c r="O72" s="737">
        <f ca="1">IF(L72&gt;0,N72*100/L72,0)</f>
        <v>17.241859141934491</v>
      </c>
      <c r="P72" s="737">
        <f ca="1">IF(M72&gt;0,N72*100/M72,0)</f>
        <v>19.890688309384423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650300</v>
      </c>
      <c r="M74" s="427">
        <f ca="1">M77+M80</f>
        <v>563700</v>
      </c>
      <c r="N74" s="427">
        <f ca="1">N77+N80</f>
        <v>112123.81</v>
      </c>
      <c r="O74" s="427">
        <f ca="1">IF(L74&gt;0,N74*100/L74,0)</f>
        <v>17.241859141934491</v>
      </c>
      <c r="P74" s="427">
        <f ca="1">IF(M74&gt;0,N74*100/M74,0)</f>
        <v>19.890688309384423</v>
      </c>
    </row>
    <row r="75" spans="1:16" ht="18.75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650300</v>
      </c>
      <c r="M75" s="427">
        <f ca="1">M76+M77</f>
        <v>563700</v>
      </c>
      <c r="N75" s="427">
        <f ca="1">N76+N77</f>
        <v>112123.81</v>
      </c>
      <c r="O75" s="427">
        <f ca="1">IF(L75&gt;0,N75*100/L75,0)</f>
        <v>17.241859141934491</v>
      </c>
      <c r="P75" s="427">
        <f ca="1">IF(M75&gt;0,N75*100/M75,0)</f>
        <v>19.890688309384423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IFERROR(__xludf.DUMMYFUNCTION("IMPORTRANGE(""https://docs.google.com/spreadsheets/d/1-uDff_7J0KD5mKrp0Vvzr7lt3OU09vwQwhkpOPPYv2Y/edit?usp=sharing"",""งบพรบ!AM69"")"),650300)</f>
        <v>650300</v>
      </c>
      <c r="M77" s="427">
        <f ca="1">IFERROR(__xludf.DUMMYFUNCTION("IMPORTRANGE(""https://docs.google.com/spreadsheets/d/1-uDff_7J0KD5mKrp0Vvzr7lt3OU09vwQwhkpOPPYv2Y/edit?usp=sharing"",""งบพรบ!AR69"")"),563700)</f>
        <v>563700</v>
      </c>
      <c r="N77" s="427">
        <f ca="1">IFERROR(__xludf.DUMMYFUNCTION("IMPORTRANGE(""https://docs.google.com/spreadsheets/d/1-uDff_7J0KD5mKrp0Vvzr7lt3OU09vwQwhkpOPPYv2Y/edit?usp=sharing"",""งบพรบ!AT69"")"),112123.81)</f>
        <v>112123.81</v>
      </c>
      <c r="O77" s="427">
        <f ca="1">IF(L77&gt;0,N77*100/L77,0)</f>
        <v>17.241859141934491</v>
      </c>
      <c r="P77" s="427">
        <f ca="1">IF(M77&gt;0,N77*100/M77,0)</f>
        <v>19.890688309384423</v>
      </c>
    </row>
    <row r="78" spans="1:16" ht="18.75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IFERROR(__xludf.DUMMYFUNCTION("IMPORTRANGE(""https://docs.google.com/spreadsheets/d/1-uDff_7J0KD5mKrp0Vvzr7lt3OU09vwQwhkpOPPYv2Y/edit?usp=sharing"",""งบพรบ!AP69"")"),0)</f>
        <v>0</v>
      </c>
      <c r="M80" s="427">
        <f ca="1">IFERROR(__xludf.DUMMYFUNCTION("IMPORTRANGE(""https://docs.google.com/spreadsheets/d/1-uDff_7J0KD5mKrp0Vvzr7lt3OU09vwQwhkpOPPYv2Y/edit?usp=sharing"",""งบพรบ!AS69"")"),0)</f>
        <v>0</v>
      </c>
      <c r="N80" s="427">
        <f ca="1">IFERROR(__xludf.DUMMYFUNCTION("IMPORTRANGE(""https://docs.google.com/spreadsheets/d/1-uDff_7J0KD5mKrp0Vvzr7lt3OU09vwQwhkpOPPYv2Y/edit?usp=sharing"",""งบพรบ!AU69"")"),0)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1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69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IFERROR(__xludf.DUMMYFUNCTION("IMPORTRANGE(""https://docs.google.com/spreadsheets/d/1eHaY18a8A9IcSdp1K8H6x8fbOy06t2VsZHhMHf-1x7Y/edit?usp=sharing"",""แผน!H69"")"),0)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IFERROR(__xludf.DUMMYFUNCTION("IMPORTRANGE(""https://docs.google.com/spreadsheets/d/1eHaY18a8A9IcSdp1K8H6x8fbOy06t2VsZHhMHf-1x7Y/edit?usp=sharing"",""แผน!I69"")"),0)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IFERROR(__xludf.DUMMYFUNCTION("IMPORTRANGE(""https://docs.google.com/spreadsheets/d/1eHaY18a8A9IcSdp1K8H6x8fbOy06t2VsZHhMHf-1x7Y/edit?usp=sharing"",""แผน!F69"")"),0)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IFERROR(__xludf.DUMMYFUNCTION("IMPORTRANGE(""https://docs.google.com/spreadsheets/d/1eHaY18a8A9IcSdp1K8H6x8fbOy06t2VsZHhMHf-1x7Y/edit?usp=sharing"",""แผน!G69"")"),0)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IFERROR(__xludf.DUMMYFUNCTION("IMPORTRANGE(""https://docs.google.com/spreadsheets/d/1eHaY18a8A9IcSdp1K8H6x8fbOy06t2VsZHhMHf-1x7Y/edit?usp=sharing"",""แผน!D69"")"),1)</f>
        <v>1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IFERROR(__xludf.DUMMYFUNCTION("IMPORTRANGE(""https://docs.google.com/spreadsheets/d/1eHaY18a8A9IcSdp1K8H6x8fbOy06t2VsZHhMHf-1x7Y/edit?usp=sharing"",""แผน!E69"")"),69)</f>
        <v>69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IFERROR(__xludf.DUMMYFUNCTION("IMPORTRANGE(""https://docs.google.com/spreadsheets/d/1eHaY18a8A9IcSdp1K8H6x8fbOy06t2VsZHhMHf-1x7Y/edit?usp=sharing"",""แผน!J69"")"),1)</f>
        <v>1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IFERROR(__xludf.DUMMYFUNCTION("IMPORTRANGE(""https://docs.google.com/spreadsheets/d/1-uDff_7J0KD5mKrp0Vvzr7lt3OU09vwQwhkpOPPYv2Y/edit?usp=sharing"",""งบพรบ!AW69"")"),0)</f>
        <v>0</v>
      </c>
      <c r="M99" s="427">
        <f ca="1">IFERROR(__xludf.DUMMYFUNCTION("IMPORTRANGE(""https://docs.google.com/spreadsheets/d/1-uDff_7J0KD5mKrp0Vvzr7lt3OU09vwQwhkpOPPYv2Y/edit?usp=sharing"",""งบพรบ!BB69"")"),0)</f>
        <v>0</v>
      </c>
      <c r="N99" s="427">
        <f ca="1">IFERROR(__xludf.DUMMYFUNCTION("IMPORTRANGE(""https://docs.google.com/spreadsheets/d/1-uDff_7J0KD5mKrp0Vvzr7lt3OU09vwQwhkpOPPYv2Y/edit?usp=sharing"",""งบพรบ!BD69"")"),0)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IFERROR(__xludf.DUMMYFUNCTION("IMPORTRANGE(""https://docs.google.com/spreadsheets/d/1-uDff_7J0KD5mKrp0Vvzr7lt3OU09vwQwhkpOPPYv2Y/edit?usp=sharing"",""งบพรบ!AZ69"")"),0)</f>
        <v>0</v>
      </c>
      <c r="M102" s="427">
        <f ca="1">IFERROR(__xludf.DUMMYFUNCTION("IMPORTRANGE(""https://docs.google.com/spreadsheets/d/1-uDff_7J0KD5mKrp0Vvzr7lt3OU09vwQwhkpOPPYv2Y/edit?usp=sharing"",""งบพรบ!BC69"")"),0)</f>
        <v>0</v>
      </c>
      <c r="N102" s="427">
        <f ca="1">IFERROR(__xludf.DUMMYFUNCTION("IMPORTRANGE(""https://docs.google.com/spreadsheets/d/1-uDff_7J0KD5mKrp0Vvzr7lt3OU09vwQwhkpOPPYv2Y/edit?usp=sharing"",""งบพรบ!BE69"")"),0)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IFERROR(__xludf.DUMMYFUNCTION("IMPORTRANGE(""https://docs.google.com/spreadsheets/d/1eHaY18a8A9IcSdp1K8H6x8fbOy06t2VsZHhMHf-1x7Y/edit?usp=sharing"",""แผน!N69"")"),0)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IFERROR(__xludf.DUMMYFUNCTION("IMPORTRANGE(""https://docs.google.com/spreadsheets/d/1eHaY18a8A9IcSdp1K8H6x8fbOy06t2VsZHhMHf-1x7Y/edit?usp=sharing"",""แผน!O69"")"),0)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IFERROR(__xludf.DUMMYFUNCTION("IMPORTRANGE(""https://docs.google.com/spreadsheets/d/1eHaY18a8A9IcSdp1K8H6x8fbOy06t2VsZHhMHf-1x7Y/edit?usp=sharing"",""แผน!R69"")"),0)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IFERROR(__xludf.DUMMYFUNCTION("IMPORTRANGE(""https://docs.google.com/spreadsheets/d/1-uDff_7J0KD5mKrp0Vvzr7lt3OU09vwQwhkpOPPYv2Y/edit?usp=sharing"",""งบพรบ!BG69"")"),0)</f>
        <v>0</v>
      </c>
      <c r="M130" s="886">
        <f ca="1">IFERROR(__xludf.DUMMYFUNCTION("IMPORTRANGE(""https://docs.google.com/spreadsheets/d/1-uDff_7J0KD5mKrp0Vvzr7lt3OU09vwQwhkpOPPYv2Y/edit?usp=sharing"",""งบพรบ!BL69"")"),0)</f>
        <v>0</v>
      </c>
      <c r="N130" s="886">
        <f ca="1">IFERROR(__xludf.DUMMYFUNCTION("IMPORTRANGE(""https://docs.google.com/spreadsheets/d/1-uDff_7J0KD5mKrp0Vvzr7lt3OU09vwQwhkpOPPYv2Y/edit?usp=sharing"",""งบพรบ!BN69"")"),0)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IFERROR(__xludf.DUMMYFUNCTION("IMPORTRANGE(""https://docs.google.com/spreadsheets/d/1-uDff_7J0KD5mKrp0Vvzr7lt3OU09vwQwhkpOPPYv2Y/edit?usp=sharing"",""งบพรบ!BJ69"")"),0)</f>
        <v>0</v>
      </c>
      <c r="M133" s="886">
        <f ca="1">IFERROR(__xludf.DUMMYFUNCTION("IMPORTRANGE(""https://docs.google.com/spreadsheets/d/1-uDff_7J0KD5mKrp0Vvzr7lt3OU09vwQwhkpOPPYv2Y/edit?usp=sharing"",""งบพรบ!BM69"")"),0)</f>
        <v>0</v>
      </c>
      <c r="N133" s="886">
        <f ca="1">IFERROR(__xludf.DUMMYFUNCTION("IMPORTRANGE(""https://docs.google.com/spreadsheets/d/1-uDff_7J0KD5mKrp0Vvzr7lt3OU09vwQwhkpOPPYv2Y/edit?usp=sharing"",""งบพรบ!BO69"")"),0)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IFERROR(__xludf.DUMMYFUNCTION("IMPORTRANGE(""https://docs.google.com/spreadsheets/d/1-uDff_7J0KD5mKrp0Vvzr7lt3OU09vwQwhkpOPPYv2Y/edit?usp=sharing"",""งบพรบ!BQ69"")"),0)</f>
        <v>0</v>
      </c>
      <c r="M144" s="427">
        <f ca="1">IFERROR(__xludf.DUMMYFUNCTION("IMPORTRANGE(""https://docs.google.com/spreadsheets/d/1-uDff_7J0KD5mKrp0Vvzr7lt3OU09vwQwhkpOPPYv2Y/edit?usp=sharing"",""งบพรบ!BV69"")"),0)</f>
        <v>0</v>
      </c>
      <c r="N144" s="427">
        <f ca="1">IFERROR(__xludf.DUMMYFUNCTION("IMPORTRANGE(""https://docs.google.com/spreadsheets/d/1-uDff_7J0KD5mKrp0Vvzr7lt3OU09vwQwhkpOPPYv2Y/edit?usp=sharing"",""งบพรบ!BX69"")"),0)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IFERROR(__xludf.DUMMYFUNCTION("IMPORTRANGE(""https://docs.google.com/spreadsheets/d/1-uDff_7J0KD5mKrp0Vvzr7lt3OU09vwQwhkpOPPYv2Y/edit?usp=sharing"",""งบพรบ!BT69"")"),0)</f>
        <v>0</v>
      </c>
      <c r="M147" s="427">
        <f ca="1">IFERROR(__xludf.DUMMYFUNCTION("IMPORTRANGE(""https://docs.google.com/spreadsheets/d/1-uDff_7J0KD5mKrp0Vvzr7lt3OU09vwQwhkpOPPYv2Y/edit?usp=sharing"",""งบพรบ!BW69"")"),0)</f>
        <v>0</v>
      </c>
      <c r="N147" s="427">
        <f ca="1">IFERROR(__xludf.DUMMYFUNCTION("IMPORTRANGE(""https://docs.google.com/spreadsheets/d/1-uDff_7J0KD5mKrp0Vvzr7lt3OU09vwQwhkpOPPYv2Y/edit?usp=sharing"",""งบพรบ!BY69"")"),0)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IFERROR(__xludf.DUMMYFUNCTION("IMPORTRANGE(""https://docs.google.com/spreadsheets/d/1eHaY18a8A9IcSdp1K8H6x8fbOy06t2VsZHhMHf-1x7Y/edit?usp=sharing"",""แผน!U69"")"),0)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IFERROR(__xludf.DUMMYFUNCTION("IMPORTRANGE(""https://docs.google.com/spreadsheets/d/1eHaY18a8A9IcSdp1K8H6x8fbOy06t2VsZHhMHf-1x7Y/edit?usp=sharing"",""แผน!V69"")"),0)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IFERROR(__xludf.DUMMYFUNCTION("IMPORTRANGE(""https://docs.google.com/spreadsheets/d/1eHaY18a8A9IcSdp1K8H6x8fbOy06t2VsZHhMHf-1x7Y/edit?usp=sharing"",""แผน!W69"")"),0)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IFERROR(__xludf.DUMMYFUNCTION("IMPORTRANGE(""https://docs.google.com/spreadsheets/d/1eHaY18a8A9IcSdp1K8H6x8fbOy06t2VsZHhMHf-1x7Y/edit?usp=sharing"",""แผน!X69"")"),0)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IFERROR(__xludf.DUMMYFUNCTION("IMPORTRANGE(""https://docs.google.com/spreadsheets/d/1eHaY18a8A9IcSdp1K8H6x8fbOy06t2VsZHhMHf-1x7Y/edit?usp=sharing"",""แผน!Y69"")"),0)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IFERROR(__xludf.DUMMYFUNCTION("IMPORTRANGE(""https://docs.google.com/spreadsheets/d/1-uDff_7J0KD5mKrp0Vvzr7lt3OU09vwQwhkpOPPYv2Y/edit?usp=sharing"",""งบพรบ!CA69"")"),0)</f>
        <v>0</v>
      </c>
      <c r="M162" s="427">
        <f ca="1">IFERROR(__xludf.DUMMYFUNCTION("IMPORTRANGE(""https://docs.google.com/spreadsheets/d/1-uDff_7J0KD5mKrp0Vvzr7lt3OU09vwQwhkpOPPYv2Y/edit?usp=sharing"",""งบพรบ!CF69"")"),0)</f>
        <v>0</v>
      </c>
      <c r="N162" s="427">
        <f ca="1">IFERROR(__xludf.DUMMYFUNCTION("IMPORTRANGE(""https://docs.google.com/spreadsheets/d/1-uDff_7J0KD5mKrp0Vvzr7lt3OU09vwQwhkpOPPYv2Y/edit?usp=sharing"",""งบพรบ!CH69"")"),0)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IFERROR(__xludf.DUMMYFUNCTION("IMPORTRANGE(""https://docs.google.com/spreadsheets/d/1-uDff_7J0KD5mKrp0Vvzr7lt3OU09vwQwhkpOPPYv2Y/edit?usp=sharing"",""งบพรบ!CD69"")"),0)</f>
        <v>0</v>
      </c>
      <c r="M165" s="427">
        <f ca="1">IFERROR(__xludf.DUMMYFUNCTION("IMPORTRANGE(""https://docs.google.com/spreadsheets/d/1-uDff_7J0KD5mKrp0Vvzr7lt3OU09vwQwhkpOPPYv2Y/edit?usp=sharing"",""งบพรบ!CG69"")"),0)</f>
        <v>0</v>
      </c>
      <c r="N165" s="427">
        <f ca="1">IFERROR(__xludf.DUMMYFUNCTION("IMPORTRANGE(""https://docs.google.com/spreadsheets/d/1-uDff_7J0KD5mKrp0Vvzr7lt3OU09vwQwhkpOPPYv2Y/edit?usp=sharing"",""งบพรบ!CI69"")"),0)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IFERROR(__xludf.DUMMYFUNCTION("IMPORTRANGE(""https://docs.google.com/spreadsheets/d/1eHaY18a8A9IcSdp1K8H6x8fbOy06t2VsZHhMHf-1x7Y/edit?usp=sharing"",""แผน!Z69"")"),0)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IFERROR(__xludf.DUMMYFUNCTION("IMPORTRANGE(""https://docs.google.com/spreadsheets/d/1eHaY18a8A9IcSdp1K8H6x8fbOy06t2VsZHhMHf-1x7Y/edit?usp=sharing"",""แผน!Z69"")"),0)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IFERROR(__xludf.DUMMYFUNCTION("IMPORTRANGE(""https://docs.google.com/spreadsheets/d/1eHaY18a8A9IcSdp1K8H6x8fbOy06t2VsZHhMHf-1x7Y/edit?usp=sharing"",""แผน!Z69"")"),0)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IFERROR(__xludf.DUMMYFUNCTION("IMPORTRANGE(""https://docs.google.com/spreadsheets/d/1-uDff_7J0KD5mKrp0Vvzr7lt3OU09vwQwhkpOPPYv2Y/edit?usp=sharing"",""งบพรบ!CK69"")"),19590)</f>
        <v>19590</v>
      </c>
      <c r="M178" s="427">
        <f ca="1">IFERROR(__xludf.DUMMYFUNCTION("IMPORTRANGE(""https://docs.google.com/spreadsheets/d/1-uDff_7J0KD5mKrp0Vvzr7lt3OU09vwQwhkpOPPYv2Y/edit?usp=sharing"",""งบพรบ!CP69"")"),19590)</f>
        <v>19590</v>
      </c>
      <c r="N178" s="427">
        <f ca="1">IFERROR(__xludf.DUMMYFUNCTION("IMPORTRANGE(""https://docs.google.com/spreadsheets/d/1-uDff_7J0KD5mKrp0Vvzr7lt3OU09vwQwhkpOPPYv2Y/edit?usp=sharing"",""งบพรบ!CR69"")"),0)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IFERROR(__xludf.DUMMYFUNCTION("IMPORTRANGE(""https://docs.google.com/spreadsheets/d/1-uDff_7J0KD5mKrp0Vvzr7lt3OU09vwQwhkpOPPYv2Y/edit?usp=sharing"",""งบพรบ!CN69"")"),0)</f>
        <v>0</v>
      </c>
      <c r="M181" s="427">
        <f ca="1">IFERROR(__xludf.DUMMYFUNCTION("IMPORTRANGE(""https://docs.google.com/spreadsheets/d/1-uDff_7J0KD5mKrp0Vvzr7lt3OU09vwQwhkpOPPYv2Y/edit?usp=sharing"",""งบพรบ!CQ69"")"),0)</f>
        <v>0</v>
      </c>
      <c r="N181" s="427">
        <f ca="1">IFERROR(__xludf.DUMMYFUNCTION("IMPORTRANGE(""https://docs.google.com/spreadsheets/d/1-uDff_7J0KD5mKrp0Vvzr7lt3OU09vwQwhkpOPPYv2Y/edit?usp=sharing"",""งบพรบ!CS69"")"),0)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IFERROR(__xludf.DUMMYFUNCTION("IMPORTRANGE(""https://docs.google.com/spreadsheets/d/1eHaY18a8A9IcSdp1K8H6x8fbOy06t2VsZHhMHf-1x7Y/edit?usp=sharing"",""แผน!AA69"")"),7)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60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269300</v>
      </c>
      <c r="M186" s="737">
        <f ca="1">M187+M188</f>
        <v>219300</v>
      </c>
      <c r="N186" s="737">
        <f ca="1">N187+N188</f>
        <v>0</v>
      </c>
      <c r="O186" s="737">
        <f ca="1">IF(L186&gt;0,N186*100/L186,0)</f>
        <v>0</v>
      </c>
      <c r="P186" s="737">
        <f ca="1">IF(M186&gt;0,N186*100/M186,0)</f>
        <v>0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269300</v>
      </c>
      <c r="M188" s="427">
        <f ca="1">M191+M194</f>
        <v>219300</v>
      </c>
      <c r="N188" s="427">
        <f ca="1">N191+N194</f>
        <v>0</v>
      </c>
      <c r="O188" s="427">
        <f ca="1">IF(L188&gt;0,N188*100/L188,0)</f>
        <v>0</v>
      </c>
      <c r="P188" s="427">
        <f ca="1">IF(M188&gt;0,N188*100/M188,0)</f>
        <v>0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269300</v>
      </c>
      <c r="M189" s="427">
        <f ca="1">M190+M191</f>
        <v>219300</v>
      </c>
      <c r="N189" s="427">
        <f ca="1">N190+N191</f>
        <v>0</v>
      </c>
      <c r="O189" s="427">
        <f ca="1">IF(L189&gt;0,N189*100/L189,0)</f>
        <v>0</v>
      </c>
      <c r="P189" s="427">
        <f ca="1">IF(M189&gt;0,N189*100/M189,0)</f>
        <v>0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IFERROR(__xludf.DUMMYFUNCTION("IMPORTRANGE(""https://docs.google.com/spreadsheets/d/1-uDff_7J0KD5mKrp0Vvzr7lt3OU09vwQwhkpOPPYv2Y/edit?usp=sharing"",""งบพรบ!CU69"")"),269300)</f>
        <v>269300</v>
      </c>
      <c r="M191" s="427">
        <f ca="1">IFERROR(__xludf.DUMMYFUNCTION("IMPORTRANGE(""https://docs.google.com/spreadsheets/d/1-uDff_7J0KD5mKrp0Vvzr7lt3OU09vwQwhkpOPPYv2Y/edit?usp=sharing"",""งบพรบ!CZ69"")"),219300)</f>
        <v>219300</v>
      </c>
      <c r="N191" s="427">
        <f ca="1">IFERROR(__xludf.DUMMYFUNCTION("IMPORTRANGE(""https://docs.google.com/spreadsheets/d/1-uDff_7J0KD5mKrp0Vvzr7lt3OU09vwQwhkpOPPYv2Y/edit?usp=sharing"",""งบพรบ!DB69"")"),0)</f>
        <v>0</v>
      </c>
      <c r="O191" s="427">
        <f ca="1">IF(L191&gt;0,N191*100/L191,0)</f>
        <v>0</v>
      </c>
      <c r="P191" s="427">
        <f ca="1">IF(M191&gt;0,N191*100/M191,0)</f>
        <v>0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IFERROR(__xludf.DUMMYFUNCTION("IMPORTRANGE(""https://docs.google.com/spreadsheets/d/1-uDff_7J0KD5mKrp0Vvzr7lt3OU09vwQwhkpOPPYv2Y/edit?usp=sharing"",""งบพรบ!CX69"")"),0)</f>
        <v>0</v>
      </c>
      <c r="M194" s="427">
        <f ca="1">IFERROR(__xludf.DUMMYFUNCTION("IMPORTRANGE(""https://docs.google.com/spreadsheets/d/1-uDff_7J0KD5mKrp0Vvzr7lt3OU09vwQwhkpOPPYv2Y/edit?usp=sharing"",""งบพรบ!DA69"")"),0)</f>
        <v>0</v>
      </c>
      <c r="N194" s="427">
        <f ca="1">IFERROR(__xludf.DUMMYFUNCTION("IMPORTRANGE(""https://docs.google.com/spreadsheets/d/1-uDff_7J0KD5mKrp0Vvzr7lt3OU09vwQwhkpOPPYv2Y/edit?usp=sharing"",""งบพรบ!DC69"")"),0)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IFERROR(__xludf.DUMMYFUNCTION("IMPORTRANGE(""https://docs.google.com/spreadsheets/d/1eHaY18a8A9IcSdp1K8H6x8fbOy06t2VsZHhMHf-1x7Y/edit?usp=sharing"",""แผน!AB69"")"),6000)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IFERROR(__xludf.DUMMYFUNCTION("IMPORTRANGE(""https://docs.google.com/spreadsheets/d/1eHaY18a8A9IcSdp1K8H6x8fbOy06t2VsZHhMHf-1x7Y/edit?usp=sharing"",""แผน!AE69"")"),4)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3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39000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IFERROR(__xludf.DUMMYFUNCTION("IMPORTRANGE(""https://docs.google.com/spreadsheets/d/1eHaY18a8A9IcSdp1K8H6x8fbOy06t2VsZHhMHf-1x7Y/edit?usp=sharing"",""แผน!AG69"")"),3000)</f>
        <v>3000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IFERROR(__xludf.DUMMYFUNCTION("IMPORTRANGE(""https://docs.google.com/spreadsheets/d/1eHaY18a8A9IcSdp1K8H6x8fbOy06t2VsZHhMHf-1x7Y/edit?usp=sharing"",""แผน!AH69"")"),0)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IFERROR(__xludf.DUMMYFUNCTION("IMPORTRANGE(""https://docs.google.com/spreadsheets/d/1eHaY18a8A9IcSdp1K8H6x8fbOy06t2VsZHhMHf-1x7Y/edit?usp=sharing"",""แผน!AI69"")"),24000)</f>
        <v>24000</v>
      </c>
      <c r="M206" s="430"/>
      <c r="N206" s="840">
        <v>0</v>
      </c>
      <c r="O206" s="700"/>
      <c r="P206" s="430"/>
    </row>
    <row r="207" spans="1:16" ht="18.75" x14ac:dyDescent="0.25">
      <c r="A207" s="1015"/>
      <c r="B207" s="1014"/>
      <c r="C207" s="658"/>
      <c r="D207" s="295" t="s">
        <v>83</v>
      </c>
      <c r="E207" s="658"/>
      <c r="F207" s="658"/>
      <c r="G207" s="657"/>
      <c r="H207" s="656" t="s">
        <v>12</v>
      </c>
      <c r="I207" s="655"/>
      <c r="J207" s="655"/>
      <c r="K207" s="654"/>
      <c r="L207" s="653">
        <f ca="1">IFERROR(__xludf.DUMMYFUNCTION("IMPORTRANGE(""https://docs.google.com/spreadsheets/d/1eHaY18a8A9IcSdp1K8H6x8fbOy06t2VsZHhMHf-1x7Y/edit?usp=sharing"",""แผน!AJ69"")"),12000)</f>
        <v>12000</v>
      </c>
      <c r="M207" s="654"/>
      <c r="N207" s="1013">
        <v>0</v>
      </c>
      <c r="O207" s="1012"/>
      <c r="P207" s="654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IFERROR(__xludf.DUMMYFUNCTION("IMPORTRANGE(""https://docs.google.com/spreadsheets/d/1eHaY18a8A9IcSdp1K8H6x8fbOy06t2VsZHhMHf-1x7Y/edit?usp=sharing"",""แผน!AK69"")"),3)</f>
        <v>3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IFERROR(__xludf.DUMMYFUNCTION("IMPORTRANGE(""https://docs.google.com/spreadsheets/d/1eHaY18a8A9IcSdp1K8H6x8fbOy06t2VsZHhMHf-1x7Y/edit?usp=sharing"",""แผน!JX69"")"),3)</f>
        <v>3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IFERROR(__xludf.DUMMYFUNCTION("IMPORTRANGE(""https://docs.google.com/spreadsheets/d/1eHaY18a8A9IcSdp1K8H6x8fbOy06t2VsZHhMHf-1x7Y/edit?usp=sharing"",""แผน!JY69"")"),0)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6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84000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IFERROR(__xludf.DUMMYFUNCTION("IMPORTRANGE(""https://docs.google.com/spreadsheets/d/1eHaY18a8A9IcSdp1K8H6x8fbOy06t2VsZHhMHf-1x7Y/edit?usp=sharing"",""แผน!AM69"")"),6000)</f>
        <v>6000</v>
      </c>
      <c r="M215" s="430"/>
      <c r="N215" s="840">
        <v>0</v>
      </c>
      <c r="O215" s="700"/>
      <c r="P215" s="430"/>
    </row>
    <row r="216" spans="1:16" ht="18.75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IFERROR(__xludf.DUMMYFUNCTION("IMPORTRANGE(""https://docs.google.com/spreadsheets/d/1eHaY18a8A9IcSdp1K8H6x8fbOy06t2VsZHhMHf-1x7Y/edit?usp=sharing"",""แผน!AN69"")"),30000)</f>
        <v>30000</v>
      </c>
      <c r="M216" s="430"/>
      <c r="N216" s="840">
        <v>0</v>
      </c>
      <c r="O216" s="700"/>
      <c r="P216" s="430"/>
    </row>
    <row r="217" spans="1:16" ht="18.75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IFERROR(__xludf.DUMMYFUNCTION("IMPORTRANGE(""https://docs.google.com/spreadsheets/d/1eHaY18a8A9IcSdp1K8H6x8fbOy06t2VsZHhMHf-1x7Y/edit?usp=sharing"",""แผน!AO69"")"),48000)</f>
        <v>48000</v>
      </c>
      <c r="M217" s="430"/>
      <c r="N217" s="840">
        <v>0</v>
      </c>
      <c r="O217" s="700"/>
      <c r="P217" s="430"/>
    </row>
    <row r="218" spans="1:16" ht="19.5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IFERROR(__xludf.DUMMYFUNCTION("IMPORTRANGE(""https://docs.google.com/spreadsheets/d/1eHaY18a8A9IcSdp1K8H6x8fbOy06t2VsZHhMHf-1x7Y/edit?usp=sharing"",""แผน!AP69"")"),6)</f>
        <v>6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IFERROR(__xludf.DUMMYFUNCTION("IMPORTRANGE(""https://docs.google.com/spreadsheets/d/1eHaY18a8A9IcSdp1K8H6x8fbOy06t2VsZHhMHf-1x7Y/edit?usp=sharing"",""แผน!AP69"")"),6)</f>
        <v>6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40000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6500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IFERROR(__xludf.DUMMYFUNCTION("IMPORTRANGE(""https://docs.google.com/spreadsheets/d/1eHaY18a8A9IcSdp1K8H6x8fbOy06t2VsZHhMHf-1x7Y/edit?usp=sharing"",""แผน!AR69"")"),5000)</f>
        <v>5000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IFERROR(__xludf.DUMMYFUNCTION("IMPORTRANGE(""https://docs.google.com/spreadsheets/d/1eHaY18a8A9IcSdp1K8H6x8fbOy06t2VsZHhMHf-1x7Y/edit?usp=sharing"",""แผน!AS69"")"),1500)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IFERROR(__xludf.DUMMYFUNCTION("IMPORTRANGE(""https://docs.google.com/spreadsheets/d/1eHaY18a8A9IcSdp1K8H6x8fbOy06t2VsZHhMHf-1x7Y/edit?usp=sharing"",""แผน!AT69"")"),0)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IFERROR(__xludf.DUMMYFUNCTION("IMPORTRANGE(""https://docs.google.com/spreadsheets/d/1eHaY18a8A9IcSdp1K8H6x8fbOy06t2VsZHhMHf-1x7Y/edit?usp=sharing"",""แผน!AV69"")"),40000)</f>
        <v>40000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IFERROR(__xludf.DUMMYFUNCTION("IMPORTRANGE(""https://docs.google.com/spreadsheets/d/1eHaY18a8A9IcSdp1K8H6x8fbOy06t2VsZHhMHf-1x7Y/edit?usp=sharing"",""แผน!AV69"")"),40000)</f>
        <v>40000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IFERROR(__xludf.DUMMYFUNCTION("IMPORTRANGE(""https://docs.google.com/spreadsheets/d/1eHaY18a8A9IcSdp1K8H6x8fbOy06t2VsZHhMHf-1x7Y/edit?usp=sharing"",""แผน!AU69"")"),0)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619"/>
      <c r="B231" s="618"/>
      <c r="C231" s="617" t="s">
        <v>99</v>
      </c>
      <c r="D231" s="616"/>
      <c r="E231" s="616"/>
      <c r="F231" s="616"/>
      <c r="G231" s="615"/>
      <c r="H231" s="614" t="s">
        <v>33</v>
      </c>
      <c r="I231" s="613">
        <f ca="1">I242+I253</f>
        <v>60</v>
      </c>
      <c r="J231" s="613">
        <f>J242+J253</f>
        <v>0</v>
      </c>
      <c r="K231" s="612">
        <f ca="1">IF(I231&gt;0,J231*100/I231,0)</f>
        <v>0</v>
      </c>
      <c r="L231" s="611"/>
      <c r="M231" s="611"/>
      <c r="N231" s="611"/>
      <c r="O231" s="611"/>
      <c r="P231" s="611"/>
    </row>
    <row r="232" spans="1:16" ht="19.5" hidden="1" x14ac:dyDescent="0.3">
      <c r="A232" s="541"/>
      <c r="B232" s="526"/>
      <c r="C232" s="537" t="s">
        <v>16</v>
      </c>
      <c r="D232" s="547" t="s">
        <v>17</v>
      </c>
      <c r="E232" s="526"/>
      <c r="F232" s="526"/>
      <c r="G232" s="525"/>
      <c r="H232" s="609" t="s">
        <v>12</v>
      </c>
      <c r="I232" s="532"/>
      <c r="J232" s="532"/>
      <c r="K232" s="531"/>
      <c r="L232" s="545">
        <f ca="1">L243+L254</f>
        <v>133800</v>
      </c>
      <c r="M232" s="521"/>
      <c r="N232" s="545">
        <f>N243+N254</f>
        <v>0</v>
      </c>
      <c r="O232" s="521"/>
      <c r="P232" s="521"/>
    </row>
    <row r="233" spans="1:16" ht="18.75" hidden="1" x14ac:dyDescent="0.25">
      <c r="A233" s="541"/>
      <c r="B233" s="529"/>
      <c r="C233" s="526"/>
      <c r="D233" s="836" t="s">
        <v>152</v>
      </c>
      <c r="E233" s="526"/>
      <c r="F233" s="526"/>
      <c r="G233" s="525"/>
      <c r="H233" s="542" t="s">
        <v>12</v>
      </c>
      <c r="I233" s="532"/>
      <c r="J233" s="532"/>
      <c r="K233" s="531"/>
      <c r="L233" s="522">
        <f ca="1">L244+L255</f>
        <v>13000</v>
      </c>
      <c r="M233" s="521"/>
      <c r="N233" s="522">
        <f>N244+N255</f>
        <v>0</v>
      </c>
      <c r="O233" s="521"/>
      <c r="P233" s="521"/>
    </row>
    <row r="234" spans="1:16" ht="18.75" hidden="1" x14ac:dyDescent="0.25">
      <c r="A234" s="530"/>
      <c r="B234" s="529"/>
      <c r="C234" s="529"/>
      <c r="D234" s="751" t="s">
        <v>81</v>
      </c>
      <c r="E234" s="526"/>
      <c r="F234" s="526"/>
      <c r="G234" s="525"/>
      <c r="H234" s="542" t="s">
        <v>12</v>
      </c>
      <c r="I234" s="199"/>
      <c r="J234" s="199"/>
      <c r="K234" s="521"/>
      <c r="L234" s="522">
        <f ca="1">L245+L256</f>
        <v>5000</v>
      </c>
      <c r="M234" s="521"/>
      <c r="N234" s="522">
        <f>N245+N256</f>
        <v>0</v>
      </c>
      <c r="O234" s="521"/>
      <c r="P234" s="521"/>
    </row>
    <row r="235" spans="1:16" ht="18.75" hidden="1" x14ac:dyDescent="0.25">
      <c r="A235" s="530"/>
      <c r="B235" s="529"/>
      <c r="C235" s="529"/>
      <c r="D235" s="751" t="s">
        <v>82</v>
      </c>
      <c r="E235" s="526"/>
      <c r="F235" s="526"/>
      <c r="G235" s="525"/>
      <c r="H235" s="542" t="s">
        <v>12</v>
      </c>
      <c r="I235" s="199"/>
      <c r="J235" s="199"/>
      <c r="K235" s="521"/>
      <c r="L235" s="522">
        <f ca="1">L246+L257</f>
        <v>47800</v>
      </c>
      <c r="M235" s="521"/>
      <c r="N235" s="522">
        <f>N246+N257</f>
        <v>0</v>
      </c>
      <c r="O235" s="521"/>
      <c r="P235" s="521"/>
    </row>
    <row r="236" spans="1:16" ht="18.75" hidden="1" x14ac:dyDescent="0.25">
      <c r="A236" s="530"/>
      <c r="B236" s="529"/>
      <c r="C236" s="529"/>
      <c r="D236" s="295" t="s">
        <v>83</v>
      </c>
      <c r="E236" s="526"/>
      <c r="F236" s="526"/>
      <c r="G236" s="525"/>
      <c r="H236" s="542" t="s">
        <v>12</v>
      </c>
      <c r="I236" s="199"/>
      <c r="J236" s="199"/>
      <c r="K236" s="521"/>
      <c r="L236" s="522">
        <f ca="1">L247+L258</f>
        <v>68000</v>
      </c>
      <c r="M236" s="521"/>
      <c r="N236" s="522">
        <f>N247+N258</f>
        <v>0</v>
      </c>
      <c r="O236" s="521"/>
      <c r="P236" s="521"/>
    </row>
    <row r="237" spans="1:16" ht="19.5" hidden="1" x14ac:dyDescent="0.3">
      <c r="A237" s="538"/>
      <c r="B237" s="527"/>
      <c r="C237" s="607" t="s">
        <v>16</v>
      </c>
      <c r="D237" s="536" t="s">
        <v>36</v>
      </c>
      <c r="E237" s="535"/>
      <c r="F237" s="535"/>
      <c r="G237" s="534"/>
      <c r="H237" s="533"/>
      <c r="I237" s="532"/>
      <c r="J237" s="199"/>
      <c r="K237" s="521"/>
      <c r="L237" s="521"/>
      <c r="M237" s="521"/>
      <c r="N237" s="521"/>
      <c r="O237" s="531"/>
      <c r="P237" s="531"/>
    </row>
    <row r="238" spans="1:16" ht="18.75" hidden="1" x14ac:dyDescent="0.25">
      <c r="A238" s="538"/>
      <c r="B238" s="527"/>
      <c r="C238" s="527"/>
      <c r="D238" s="528" t="s">
        <v>102</v>
      </c>
      <c r="E238" s="604"/>
      <c r="F238" s="604"/>
      <c r="G238" s="533"/>
      <c r="H238" s="603" t="s">
        <v>33</v>
      </c>
      <c r="I238" s="201">
        <f ca="1">I249+I260</f>
        <v>60</v>
      </c>
      <c r="J238" s="201">
        <f>J249+J260</f>
        <v>0</v>
      </c>
      <c r="K238" s="522">
        <f ca="1">IF(I238&gt;0,J238*100/I238,0)</f>
        <v>0</v>
      </c>
      <c r="L238" s="521"/>
      <c r="M238" s="521"/>
      <c r="N238" s="521"/>
      <c r="O238" s="521"/>
      <c r="P238" s="521"/>
    </row>
    <row r="239" spans="1:16" ht="18.75" hidden="1" x14ac:dyDescent="0.25">
      <c r="A239" s="538"/>
      <c r="B239" s="527"/>
      <c r="C239" s="527"/>
      <c r="D239" s="606" t="s">
        <v>41</v>
      </c>
      <c r="E239" s="604"/>
      <c r="F239" s="604"/>
      <c r="G239" s="533"/>
      <c r="H239" s="533"/>
      <c r="I239" s="199"/>
      <c r="J239" s="199"/>
      <c r="K239" s="521"/>
      <c r="L239" s="521"/>
      <c r="M239" s="521"/>
      <c r="N239" s="521"/>
      <c r="O239" s="531"/>
      <c r="P239" s="531"/>
    </row>
    <row r="240" spans="1:16" ht="18.75" hidden="1" x14ac:dyDescent="0.25">
      <c r="A240" s="538"/>
      <c r="B240" s="527"/>
      <c r="C240" s="527"/>
      <c r="D240" s="527"/>
      <c r="E240" s="605" t="s">
        <v>103</v>
      </c>
      <c r="F240" s="604"/>
      <c r="G240" s="533"/>
      <c r="H240" s="603" t="s">
        <v>33</v>
      </c>
      <c r="I240" s="201">
        <f ca="1">I251+I262</f>
        <v>60</v>
      </c>
      <c r="J240" s="201">
        <f>J251+J262</f>
        <v>0</v>
      </c>
      <c r="K240" s="522">
        <f ca="1">IF(I240&gt;0,J240*100/I240,0)</f>
        <v>0</v>
      </c>
      <c r="L240" s="521"/>
      <c r="M240" s="521"/>
      <c r="N240" s="521"/>
      <c r="O240" s="521"/>
      <c r="P240" s="521"/>
    </row>
    <row r="241" spans="1:16" ht="18.75" hidden="1" x14ac:dyDescent="0.25">
      <c r="A241" s="538"/>
      <c r="B241" s="527"/>
      <c r="C241" s="527"/>
      <c r="D241" s="527"/>
      <c r="E241" s="605" t="s">
        <v>104</v>
      </c>
      <c r="F241" s="604"/>
      <c r="G241" s="533"/>
      <c r="H241" s="603" t="s">
        <v>54</v>
      </c>
      <c r="I241" s="201">
        <f ca="1">I252+I263</f>
        <v>2</v>
      </c>
      <c r="J241" s="201">
        <f>J252+J263</f>
        <v>0</v>
      </c>
      <c r="K241" s="522">
        <f ca="1">IF(I241&gt;0,J241*100/I241,0)</f>
        <v>0</v>
      </c>
      <c r="L241" s="521"/>
      <c r="M241" s="521"/>
      <c r="N241" s="521"/>
      <c r="O241" s="521"/>
      <c r="P241" s="521"/>
    </row>
    <row r="242" spans="1:16" ht="19.5" x14ac:dyDescent="0.3">
      <c r="A242" s="281"/>
      <c r="B242" s="282"/>
      <c r="C242" s="283" t="s">
        <v>160</v>
      </c>
      <c r="D242" s="284"/>
      <c r="E242" s="284"/>
      <c r="F242" s="284"/>
      <c r="G242" s="285"/>
      <c r="H242" s="286" t="s">
        <v>33</v>
      </c>
      <c r="I242" s="287">
        <f ca="1">I249</f>
        <v>20</v>
      </c>
      <c r="J242" s="287">
        <f>J249</f>
        <v>0</v>
      </c>
      <c r="K242" s="288">
        <f ca="1">IF(I242&gt;0,J242*100/I242,0)</f>
        <v>0</v>
      </c>
      <c r="L242" s="289"/>
      <c r="M242" s="289"/>
      <c r="N242" s="289"/>
      <c r="O242" s="289"/>
      <c r="P242" s="289"/>
    </row>
    <row r="243" spans="1:16" ht="19.5" x14ac:dyDescent="0.3">
      <c r="A243" s="157"/>
      <c r="B243" s="53"/>
      <c r="C243" s="158" t="s">
        <v>16</v>
      </c>
      <c r="D243" s="574" t="s">
        <v>17</v>
      </c>
      <c r="E243" s="53"/>
      <c r="F243" s="53"/>
      <c r="G243" s="55"/>
      <c r="H243" s="291" t="s">
        <v>12</v>
      </c>
      <c r="I243" s="164"/>
      <c r="J243" s="164"/>
      <c r="K243" s="165"/>
      <c r="L243" s="161">
        <f ca="1">L244+L245+L246+L247</f>
        <v>61600</v>
      </c>
      <c r="M243" s="58"/>
      <c r="N243" s="161">
        <f>N244+N245+N246+N247</f>
        <v>0</v>
      </c>
      <c r="O243" s="161">
        <f ca="1">IF(L243&gt;0,N243*100/L243,0)</f>
        <v>0</v>
      </c>
      <c r="P243" s="161">
        <f>IF(M243&gt;0,N243*100/M243,0)</f>
        <v>0</v>
      </c>
    </row>
    <row r="244" spans="1:16" ht="18.75" x14ac:dyDescent="0.25">
      <c r="A244" s="157"/>
      <c r="B244" s="280"/>
      <c r="C244" s="53"/>
      <c r="D244" s="836" t="s">
        <v>152</v>
      </c>
      <c r="E244" s="53"/>
      <c r="F244" s="53"/>
      <c r="G244" s="55"/>
      <c r="H244" s="163" t="s">
        <v>12</v>
      </c>
      <c r="I244" s="164"/>
      <c r="J244" s="164"/>
      <c r="K244" s="165"/>
      <c r="L244" s="61">
        <f ca="1">IFERROR(__xludf.DUMMYFUNCTION("IMPORTRANGE(""https://docs.google.com/spreadsheets/d/1eHaY18a8A9IcSdp1K8H6x8fbOy06t2VsZHhMHf-1x7Y/edit?usp=sharing"",""แผน!AX69"")"),8000)</f>
        <v>8000</v>
      </c>
      <c r="M244" s="58"/>
      <c r="N244" s="620">
        <v>0</v>
      </c>
      <c r="O244" s="58"/>
      <c r="P244" s="58"/>
    </row>
    <row r="245" spans="1:16" ht="18.75" x14ac:dyDescent="0.25">
      <c r="A245" s="276"/>
      <c r="B245" s="280"/>
      <c r="C245" s="280"/>
      <c r="D245" s="751" t="s">
        <v>81</v>
      </c>
      <c r="E245" s="53"/>
      <c r="F245" s="53"/>
      <c r="G245" s="55"/>
      <c r="H245" s="163" t="s">
        <v>12</v>
      </c>
      <c r="I245" s="57"/>
      <c r="J245" s="57"/>
      <c r="K245" s="58"/>
      <c r="L245" s="61">
        <f ca="1">IFERROR(__xludf.DUMMYFUNCTION("IMPORTRANGE(""https://docs.google.com/spreadsheets/d/1eHaY18a8A9IcSdp1K8H6x8fbOy06t2VsZHhMHf-1x7Y/edit?usp=sharing"",""แผน!AY69"")"),2000)</f>
        <v>2000</v>
      </c>
      <c r="M245" s="58"/>
      <c r="N245" s="620">
        <v>0</v>
      </c>
      <c r="O245" s="58"/>
      <c r="P245" s="58"/>
    </row>
    <row r="246" spans="1:16" ht="18.75" x14ac:dyDescent="0.25">
      <c r="A246" s="276"/>
      <c r="B246" s="280"/>
      <c r="C246" s="280"/>
      <c r="D246" s="751" t="s">
        <v>82</v>
      </c>
      <c r="E246" s="53"/>
      <c r="F246" s="53"/>
      <c r="G246" s="55"/>
      <c r="H246" s="163" t="s">
        <v>12</v>
      </c>
      <c r="I246" s="57"/>
      <c r="J246" s="57"/>
      <c r="K246" s="58"/>
      <c r="L246" s="61">
        <f ca="1">IFERROR(__xludf.DUMMYFUNCTION("IMPORTRANGE(""https://docs.google.com/spreadsheets/d/1eHaY18a8A9IcSdp1K8H6x8fbOy06t2VsZHhMHf-1x7Y/edit?usp=sharing"",""แผน!AZ69"")"),16600)</f>
        <v>16600</v>
      </c>
      <c r="M246" s="58"/>
      <c r="N246" s="620">
        <v>0</v>
      </c>
      <c r="O246" s="58"/>
      <c r="P246" s="58"/>
    </row>
    <row r="247" spans="1:16" ht="18.75" x14ac:dyDescent="0.25">
      <c r="A247" s="276"/>
      <c r="B247" s="280"/>
      <c r="C247" s="280"/>
      <c r="D247" s="295" t="s">
        <v>83</v>
      </c>
      <c r="E247" s="53"/>
      <c r="F247" s="53"/>
      <c r="G247" s="55"/>
      <c r="H247" s="163" t="s">
        <v>12</v>
      </c>
      <c r="I247" s="57"/>
      <c r="J247" s="57"/>
      <c r="K247" s="58"/>
      <c r="L247" s="61">
        <f ca="1">IFERROR(__xludf.DUMMYFUNCTION("IMPORTRANGE(""https://docs.google.com/spreadsheets/d/1eHaY18a8A9IcSdp1K8H6x8fbOy06t2VsZHhMHf-1x7Y/edit?usp=sharing"",""แผน!BA69"")"),35000)</f>
        <v>35000</v>
      </c>
      <c r="M247" s="58"/>
      <c r="N247" s="620">
        <v>0</v>
      </c>
      <c r="O247" s="58"/>
      <c r="P247" s="58"/>
    </row>
    <row r="248" spans="1:16" ht="19.5" x14ac:dyDescent="0.3">
      <c r="A248" s="167"/>
      <c r="B248" s="168"/>
      <c r="C248" s="298" t="s">
        <v>16</v>
      </c>
      <c r="D248" s="571" t="s">
        <v>36</v>
      </c>
      <c r="E248" s="170"/>
      <c r="F248" s="170"/>
      <c r="G248" s="171"/>
      <c r="H248" s="172"/>
      <c r="I248" s="164"/>
      <c r="J248" s="57"/>
      <c r="K248" s="58"/>
      <c r="L248" s="58"/>
      <c r="M248" s="58"/>
      <c r="N248" s="58"/>
      <c r="O248" s="165"/>
      <c r="P248" s="165"/>
    </row>
    <row r="249" spans="1:16" ht="18.75" x14ac:dyDescent="0.25">
      <c r="A249" s="167"/>
      <c r="B249" s="168"/>
      <c r="C249" s="168"/>
      <c r="D249" s="195" t="s">
        <v>102</v>
      </c>
      <c r="E249" s="174"/>
      <c r="F249" s="174"/>
      <c r="G249" s="172"/>
      <c r="H249" s="297" t="s">
        <v>33</v>
      </c>
      <c r="I249" s="196">
        <f ca="1">IFERROR(__xludf.DUMMYFUNCTION("IMPORTRANGE(""https://docs.google.com/spreadsheets/d/1eHaY18a8A9IcSdp1K8H6x8fbOy06t2VsZHhMHf-1x7Y/edit?usp=sharing"",""แผน!BG69"")"),20)</f>
        <v>20</v>
      </c>
      <c r="J249" s="578">
        <v>0</v>
      </c>
      <c r="K249" s="61">
        <f ca="1">IF(I249&gt;0,J249*100/I249,0)</f>
        <v>0</v>
      </c>
      <c r="L249" s="58"/>
      <c r="M249" s="58"/>
      <c r="N249" s="58"/>
      <c r="O249" s="58"/>
      <c r="P249" s="58"/>
    </row>
    <row r="250" spans="1:16" ht="18.75" x14ac:dyDescent="0.25">
      <c r="A250" s="167"/>
      <c r="B250" s="168"/>
      <c r="C250" s="168"/>
      <c r="D250" s="308" t="s">
        <v>41</v>
      </c>
      <c r="E250" s="174"/>
      <c r="F250" s="174"/>
      <c r="G250" s="172"/>
      <c r="H250" s="172"/>
      <c r="I250" s="57"/>
      <c r="J250" s="57"/>
      <c r="K250" s="58"/>
      <c r="L250" s="58"/>
      <c r="M250" s="58"/>
      <c r="N250" s="58"/>
      <c r="O250" s="165"/>
      <c r="P250" s="165"/>
    </row>
    <row r="251" spans="1:16" ht="18.75" x14ac:dyDescent="0.25">
      <c r="A251" s="167"/>
      <c r="B251" s="168"/>
      <c r="C251" s="168"/>
      <c r="D251" s="168"/>
      <c r="E251" s="449" t="s">
        <v>103</v>
      </c>
      <c r="F251" s="174"/>
      <c r="G251" s="172"/>
      <c r="H251" s="297" t="s">
        <v>33</v>
      </c>
      <c r="I251" s="196">
        <f ca="1">IFERROR(__xludf.DUMMYFUNCTION("IMPORTRANGE(""https://docs.google.com/spreadsheets/d/1eHaY18a8A9IcSdp1K8H6x8fbOy06t2VsZHhMHf-1x7Y/edit?usp=sharing"",""แผน!KD69"")"),20)</f>
        <v>20</v>
      </c>
      <c r="J251" s="578">
        <v>0</v>
      </c>
      <c r="K251" s="61">
        <f ca="1">IF(I251&gt;0,J251*100/I251,0)</f>
        <v>0</v>
      </c>
      <c r="L251" s="58"/>
      <c r="M251" s="58"/>
      <c r="N251" s="58"/>
      <c r="O251" s="58"/>
      <c r="P251" s="58"/>
    </row>
    <row r="252" spans="1:16" ht="18.75" x14ac:dyDescent="0.25">
      <c r="A252" s="167"/>
      <c r="B252" s="168"/>
      <c r="C252" s="168"/>
      <c r="D252" s="168"/>
      <c r="E252" s="449" t="s">
        <v>104</v>
      </c>
      <c r="F252" s="174"/>
      <c r="G252" s="172"/>
      <c r="H252" s="297" t="s">
        <v>54</v>
      </c>
      <c r="I252" s="196">
        <f ca="1">IFERROR(__xludf.DUMMYFUNCTION("IMPORTRANGE(""https://docs.google.com/spreadsheets/d/1eHaY18a8A9IcSdp1K8H6x8fbOy06t2VsZHhMHf-1x7Y/edit?usp=sharing"",""แผน!KE69"")"),1)</f>
        <v>1</v>
      </c>
      <c r="J252" s="578">
        <v>0</v>
      </c>
      <c r="K252" s="61">
        <f ca="1">IF(I252&gt;0,J252*100/I252,0)</f>
        <v>0</v>
      </c>
      <c r="L252" s="58"/>
      <c r="M252" s="58"/>
      <c r="N252" s="58"/>
      <c r="O252" s="58"/>
      <c r="P252" s="58"/>
    </row>
    <row r="253" spans="1:16" ht="19.5" x14ac:dyDescent="0.3">
      <c r="A253" s="281"/>
      <c r="B253" s="282"/>
      <c r="C253" s="283" t="s">
        <v>181</v>
      </c>
      <c r="D253" s="284"/>
      <c r="E253" s="284"/>
      <c r="F253" s="284"/>
      <c r="G253" s="285"/>
      <c r="H253" s="286" t="s">
        <v>33</v>
      </c>
      <c r="I253" s="287">
        <f ca="1">I260</f>
        <v>40</v>
      </c>
      <c r="J253" s="287">
        <f>J260</f>
        <v>0</v>
      </c>
      <c r="K253" s="288">
        <f ca="1">IF(I253&gt;0,J253*100/I253,0)</f>
        <v>0</v>
      </c>
      <c r="L253" s="289"/>
      <c r="M253" s="289"/>
      <c r="N253" s="289"/>
      <c r="O253" s="289"/>
      <c r="P253" s="289"/>
    </row>
    <row r="254" spans="1:16" ht="19.5" x14ac:dyDescent="0.3">
      <c r="A254" s="157"/>
      <c r="B254" s="53"/>
      <c r="C254" s="158" t="s">
        <v>16</v>
      </c>
      <c r="D254" s="621" t="s">
        <v>17</v>
      </c>
      <c r="E254" s="53"/>
      <c r="F254" s="53"/>
      <c r="G254" s="55"/>
      <c r="H254" s="291" t="s">
        <v>12</v>
      </c>
      <c r="I254" s="164"/>
      <c r="J254" s="164"/>
      <c r="K254" s="165"/>
      <c r="L254" s="161">
        <f ca="1">L255+L256+L257+L258</f>
        <v>72200</v>
      </c>
      <c r="M254" s="58"/>
      <c r="N254" s="161">
        <f>N255+N256+N257+N258</f>
        <v>0</v>
      </c>
      <c r="O254" s="161">
        <f ca="1">IF(L254&gt;0,N254*100/L254,0)</f>
        <v>0</v>
      </c>
      <c r="P254" s="161">
        <f>IF(M254&gt;0,N254*100/M254,0)</f>
        <v>0</v>
      </c>
    </row>
    <row r="255" spans="1:16" ht="18.75" x14ac:dyDescent="0.25">
      <c r="A255" s="157"/>
      <c r="B255" s="280"/>
      <c r="C255" s="53"/>
      <c r="D255" s="836" t="s">
        <v>152</v>
      </c>
      <c r="E255" s="53"/>
      <c r="F255" s="53"/>
      <c r="G255" s="55"/>
      <c r="H255" s="163" t="s">
        <v>12</v>
      </c>
      <c r="I255" s="164"/>
      <c r="J255" s="164"/>
      <c r="K255" s="165"/>
      <c r="L255" s="61">
        <f ca="1">IFERROR(__xludf.DUMMYFUNCTION("IMPORTRANGE(""https://docs.google.com/spreadsheets/d/1eHaY18a8A9IcSdp1K8H6x8fbOy06t2VsZHhMHf-1x7Y/edit?usp=sharing"",""แผน!BB69"")"),5000)</f>
        <v>5000</v>
      </c>
      <c r="M255" s="58"/>
      <c r="N255" s="620">
        <v>0</v>
      </c>
      <c r="O255" s="58"/>
      <c r="P255" s="58"/>
    </row>
    <row r="256" spans="1:16" ht="18.75" x14ac:dyDescent="0.25">
      <c r="A256" s="276"/>
      <c r="B256" s="280"/>
      <c r="C256" s="280"/>
      <c r="D256" s="751" t="s">
        <v>81</v>
      </c>
      <c r="E256" s="53"/>
      <c r="F256" s="53"/>
      <c r="G256" s="55"/>
      <c r="H256" s="163" t="s">
        <v>12</v>
      </c>
      <c r="I256" s="57"/>
      <c r="J256" s="57"/>
      <c r="K256" s="58"/>
      <c r="L256" s="61">
        <f ca="1">IFERROR(__xludf.DUMMYFUNCTION("IMPORTRANGE(""https://docs.google.com/spreadsheets/d/1eHaY18a8A9IcSdp1K8H6x8fbOy06t2VsZHhMHf-1x7Y/edit?usp=sharing"",""แผน!BC69"")"),3000)</f>
        <v>3000</v>
      </c>
      <c r="M256" s="58"/>
      <c r="N256" s="620">
        <v>0</v>
      </c>
      <c r="O256" s="58"/>
      <c r="P256" s="58"/>
    </row>
    <row r="257" spans="1:16" ht="18.75" x14ac:dyDescent="0.25">
      <c r="A257" s="276"/>
      <c r="B257" s="280"/>
      <c r="C257" s="280"/>
      <c r="D257" s="751" t="s">
        <v>82</v>
      </c>
      <c r="E257" s="53"/>
      <c r="F257" s="53"/>
      <c r="G257" s="55"/>
      <c r="H257" s="163" t="s">
        <v>12</v>
      </c>
      <c r="I257" s="57"/>
      <c r="J257" s="57"/>
      <c r="K257" s="58"/>
      <c r="L257" s="61">
        <f ca="1">IFERROR(__xludf.DUMMYFUNCTION("IMPORTRANGE(""https://docs.google.com/spreadsheets/d/1eHaY18a8A9IcSdp1K8H6x8fbOy06t2VsZHhMHf-1x7Y/edit?usp=sharing"",""แผน!BD69"")"),31200)</f>
        <v>31200</v>
      </c>
      <c r="M257" s="58"/>
      <c r="N257" s="620">
        <v>0</v>
      </c>
      <c r="O257" s="58"/>
      <c r="P257" s="58"/>
    </row>
    <row r="258" spans="1:16" ht="18.75" x14ac:dyDescent="0.25">
      <c r="A258" s="276"/>
      <c r="B258" s="280"/>
      <c r="C258" s="280"/>
      <c r="D258" s="295" t="s">
        <v>83</v>
      </c>
      <c r="E258" s="53"/>
      <c r="F258" s="53"/>
      <c r="G258" s="55"/>
      <c r="H258" s="163" t="s">
        <v>12</v>
      </c>
      <c r="I258" s="57"/>
      <c r="J258" s="57"/>
      <c r="K258" s="58"/>
      <c r="L258" s="61">
        <f ca="1">IFERROR(__xludf.DUMMYFUNCTION("IMPORTRANGE(""https://docs.google.com/spreadsheets/d/1eHaY18a8A9IcSdp1K8H6x8fbOy06t2VsZHhMHf-1x7Y/edit?usp=sharing"",""แผน!BE69"")"),33000)</f>
        <v>33000</v>
      </c>
      <c r="M258" s="58"/>
      <c r="N258" s="620">
        <v>0</v>
      </c>
      <c r="O258" s="58"/>
      <c r="P258" s="58"/>
    </row>
    <row r="259" spans="1:16" ht="19.5" x14ac:dyDescent="0.3">
      <c r="A259" s="167"/>
      <c r="B259" s="168"/>
      <c r="C259" s="298" t="s">
        <v>16</v>
      </c>
      <c r="D259" s="571" t="s">
        <v>36</v>
      </c>
      <c r="E259" s="170"/>
      <c r="F259" s="170"/>
      <c r="G259" s="171"/>
      <c r="H259" s="172"/>
      <c r="I259" s="164"/>
      <c r="J259" s="57"/>
      <c r="K259" s="58"/>
      <c r="L259" s="58"/>
      <c r="M259" s="58"/>
      <c r="N259" s="58"/>
      <c r="O259" s="165"/>
      <c r="P259" s="165"/>
    </row>
    <row r="260" spans="1:16" ht="18.75" x14ac:dyDescent="0.25">
      <c r="A260" s="167"/>
      <c r="B260" s="168"/>
      <c r="C260" s="168"/>
      <c r="D260" s="195" t="s">
        <v>102</v>
      </c>
      <c r="E260" s="174"/>
      <c r="F260" s="174"/>
      <c r="G260" s="172"/>
      <c r="H260" s="297" t="s">
        <v>33</v>
      </c>
      <c r="I260" s="196">
        <f ca="1">IFERROR(__xludf.DUMMYFUNCTION("IMPORTRANGE(""https://docs.google.com/spreadsheets/d/1eHaY18a8A9IcSdp1K8H6x8fbOy06t2VsZHhMHf-1x7Y/edit?usp=sharing"",""แผน!BH69"")"),40)</f>
        <v>40</v>
      </c>
      <c r="J260" s="578">
        <v>0</v>
      </c>
      <c r="K260" s="61">
        <f ca="1">IF(I260&gt;0,J260*100/I260,0)</f>
        <v>0</v>
      </c>
      <c r="L260" s="58"/>
      <c r="M260" s="58"/>
      <c r="N260" s="58"/>
      <c r="O260" s="58"/>
      <c r="P260" s="58"/>
    </row>
    <row r="261" spans="1:16" ht="18.75" x14ac:dyDescent="0.25">
      <c r="A261" s="167"/>
      <c r="B261" s="168"/>
      <c r="C261" s="168"/>
      <c r="D261" s="308" t="s">
        <v>41</v>
      </c>
      <c r="E261" s="174"/>
      <c r="F261" s="174"/>
      <c r="G261" s="172"/>
      <c r="H261" s="172"/>
      <c r="I261" s="57"/>
      <c r="J261" s="57"/>
      <c r="K261" s="58"/>
      <c r="L261" s="58"/>
      <c r="M261" s="58"/>
      <c r="N261" s="58"/>
      <c r="O261" s="165"/>
      <c r="P261" s="165"/>
    </row>
    <row r="262" spans="1:16" ht="18.75" x14ac:dyDescent="0.25">
      <c r="A262" s="167"/>
      <c r="B262" s="168"/>
      <c r="C262" s="168"/>
      <c r="D262" s="168"/>
      <c r="E262" s="449" t="s">
        <v>103</v>
      </c>
      <c r="F262" s="174"/>
      <c r="G262" s="172"/>
      <c r="H262" s="297" t="s">
        <v>33</v>
      </c>
      <c r="I262" s="196">
        <f ca="1">IFERROR(__xludf.DUMMYFUNCTION("IMPORTRANGE(""https://docs.google.com/spreadsheets/d/1eHaY18a8A9IcSdp1K8H6x8fbOy06t2VsZHhMHf-1x7Y/edit?usp=sharing"",""แผน!KF69"")"),40)</f>
        <v>40</v>
      </c>
      <c r="J262" s="578">
        <v>0</v>
      </c>
      <c r="K262" s="61">
        <f ca="1">IF(I262&gt;0,J262*100/I262,0)</f>
        <v>0</v>
      </c>
      <c r="L262" s="58"/>
      <c r="M262" s="58"/>
      <c r="N262" s="58"/>
      <c r="O262" s="58"/>
      <c r="P262" s="58"/>
    </row>
    <row r="263" spans="1:16" ht="18.75" x14ac:dyDescent="0.25">
      <c r="A263" s="167"/>
      <c r="B263" s="168"/>
      <c r="C263" s="168"/>
      <c r="D263" s="168"/>
      <c r="E263" s="449" t="s">
        <v>104</v>
      </c>
      <c r="F263" s="174"/>
      <c r="G263" s="172"/>
      <c r="H263" s="297" t="s">
        <v>54</v>
      </c>
      <c r="I263" s="196">
        <f ca="1">IFERROR(__xludf.DUMMYFUNCTION("IMPORTRANGE(""https://docs.google.com/spreadsheets/d/1eHaY18a8A9IcSdp1K8H6x8fbOy06t2VsZHhMHf-1x7Y/edit?usp=sharing"",""แผน!KG69"")"),1)</f>
        <v>1</v>
      </c>
      <c r="J263" s="578">
        <v>0</v>
      </c>
      <c r="K263" s="61">
        <f ca="1">IF(I263&gt;0,J263*100/I263,0)</f>
        <v>0</v>
      </c>
      <c r="L263" s="58"/>
      <c r="M263" s="58"/>
      <c r="N263" s="58"/>
      <c r="O263" s="58"/>
      <c r="P263" s="58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IFERROR(__xludf.DUMMYFUNCTION("IMPORTRANGE(""https://docs.google.com/spreadsheets/d/1-uDff_7J0KD5mKrp0Vvzr7lt3OU09vwQwhkpOPPYv2Y/edit?usp=sharing"",""งบพรบ!DE69"")"),0)</f>
        <v>0</v>
      </c>
      <c r="M271" s="522">
        <f ca="1">IFERROR(__xludf.DUMMYFUNCTION("IMPORTRANGE(""https://docs.google.com/spreadsheets/d/1-uDff_7J0KD5mKrp0Vvzr7lt3OU09vwQwhkpOPPYv2Y/edit?usp=sharing"",""งบพรบ!DJ69"")"),0)</f>
        <v>0</v>
      </c>
      <c r="N271" s="522">
        <f ca="1">IFERROR(__xludf.DUMMYFUNCTION("IMPORTRANGE(""https://docs.google.com/spreadsheets/d/1-uDff_7J0KD5mKrp0Vvzr7lt3OU09vwQwhkpOPPYv2Y/edit?usp=sharing"",""งบพรบ!DL69"")"),0)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IFERROR(__xludf.DUMMYFUNCTION("IMPORTRANGE(""https://docs.google.com/spreadsheets/d/1-uDff_7J0KD5mKrp0Vvzr7lt3OU09vwQwhkpOPPYv2Y/edit?usp=sharing"",""งบพรบ!DH69"")"),0)</f>
        <v>0</v>
      </c>
      <c r="M274" s="522">
        <f ca="1">IFERROR(__xludf.DUMMYFUNCTION("IMPORTRANGE(""https://docs.google.com/spreadsheets/d/1-uDff_7J0KD5mKrp0Vvzr7lt3OU09vwQwhkpOPPYv2Y/edit?usp=sharing"",""งบพรบ!DK69"")"),0)</f>
        <v>0</v>
      </c>
      <c r="N274" s="522">
        <f ca="1">IFERROR(__xludf.DUMMYFUNCTION("IMPORTRANGE(""https://docs.google.com/spreadsheets/d/1-uDff_7J0KD5mKrp0Vvzr7lt3OU09vwQwhkpOPPYv2Y/edit?usp=sharing"",""งบพรบ!DM69"")"),0)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IFERROR(__xludf.DUMMYFUNCTION("IMPORTRANGE(""https://docs.google.com/spreadsheets/d/1-uDff_7J0KD5mKrp0Vvzr7lt3OU09vwQwhkpOPPYv2Y/edit?usp=sharing"",""งบพรบ!DO69"")"),0)</f>
        <v>0</v>
      </c>
      <c r="M287" s="427">
        <f ca="1">IFERROR(__xludf.DUMMYFUNCTION("IMPORTRANGE(""https://docs.google.com/spreadsheets/d/1-uDff_7J0KD5mKrp0Vvzr7lt3OU09vwQwhkpOPPYv2Y/edit?usp=sharing"",""งบพรบ!DT69"")"),0)</f>
        <v>0</v>
      </c>
      <c r="N287" s="427">
        <f ca="1">IFERROR(__xludf.DUMMYFUNCTION("IMPORTRANGE(""https://docs.google.com/spreadsheets/d/1-uDff_7J0KD5mKrp0Vvzr7lt3OU09vwQwhkpOPPYv2Y/edit?usp=sharing"",""งบพรบ!DV69"")"),0)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IFERROR(__xludf.DUMMYFUNCTION("IMPORTRANGE(""https://docs.google.com/spreadsheets/d/1-uDff_7J0KD5mKrp0Vvzr7lt3OU09vwQwhkpOPPYv2Y/edit?usp=sharing"",""งบพรบ!DR69"")"),0)</f>
        <v>0</v>
      </c>
      <c r="M290" s="427">
        <f ca="1">IFERROR(__xludf.DUMMYFUNCTION("IMPORTRANGE(""https://docs.google.com/spreadsheets/d/1-uDff_7J0KD5mKrp0Vvzr7lt3OU09vwQwhkpOPPYv2Y/edit?usp=sharing"",""งบพรบ!DU69"")"),0)</f>
        <v>0</v>
      </c>
      <c r="N290" s="427">
        <f ca="1">IFERROR(__xludf.DUMMYFUNCTION("IMPORTRANGE(""https://docs.google.com/spreadsheets/d/1-uDff_7J0KD5mKrp0Vvzr7lt3OU09vwQwhkpOPPYv2Y/edit?usp=sharing"",""งบพรบ!DW69"")"),0)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IFERROR(__xludf.DUMMYFUNCTION("IMPORTRANGE(""https://docs.google.com/spreadsheets/d/1eHaY18a8A9IcSdp1K8H6x8fbOy06t2VsZHhMHf-1x7Y/edit?usp=sharing"",""แผน!EE69"")"),0)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IFERROR(__xludf.DUMMYFUNCTION("IMPORTRANGE(""https://docs.google.com/spreadsheets/d/1eHaY18a8A9IcSdp1K8H6x8fbOy06t2VsZHhMHf-1x7Y/edit?usp=sharing"",""แผน!ED69"")"),0)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IFERROR(__xludf.DUMMYFUNCTION("IMPORTRANGE(""https://docs.google.com/spreadsheets/d/1eHaY18a8A9IcSdp1K8H6x8fbOy06t2VsZHhMHf-1x7Y/edit?usp=sharing"",""แผน!ED69"")"),0)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IFERROR(__xludf.DUMMYFUNCTION("IMPORTRANGE(""https://docs.google.com/spreadsheets/d/1eHaY18a8A9IcSdp1K8H6x8fbOy06t2VsZHhMHf-1x7Y/edit?usp=sharing"",""แผน!ED69"")"),0)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IFERROR(__xludf.DUMMYFUNCTION("IMPORTRANGE(""https://docs.google.com/spreadsheets/d/1-uDff_7J0KD5mKrp0Vvzr7lt3OU09vwQwhkpOPPYv2Y/edit?usp=sharing"",""งบพรบ!DY69"")"),0)</f>
        <v>0</v>
      </c>
      <c r="M308" s="427">
        <f ca="1">IFERROR(__xludf.DUMMYFUNCTION("IMPORTRANGE(""https://docs.google.com/spreadsheets/d/1-uDff_7J0KD5mKrp0Vvzr7lt3OU09vwQwhkpOPPYv2Y/edit?usp=sharing"",""งบพรบ!ED69"")"),0)</f>
        <v>0</v>
      </c>
      <c r="N308" s="427">
        <f ca="1">IFERROR(__xludf.DUMMYFUNCTION("IMPORTRANGE(""https://docs.google.com/spreadsheets/d/1-uDff_7J0KD5mKrp0Vvzr7lt3OU09vwQwhkpOPPYv2Y/edit?usp=sharing"",""งบพรบ!EF69"")"),0)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IFERROR(__xludf.DUMMYFUNCTION("IMPORTRANGE(""https://docs.google.com/spreadsheets/d/1-uDff_7J0KD5mKrp0Vvzr7lt3OU09vwQwhkpOPPYv2Y/edit?usp=sharing"",""งบพรบ!EB69"")"),0)</f>
        <v>0</v>
      </c>
      <c r="M311" s="427">
        <f ca="1">IFERROR(__xludf.DUMMYFUNCTION("IMPORTRANGE(""https://docs.google.com/spreadsheets/d/1-uDff_7J0KD5mKrp0Vvzr7lt3OU09vwQwhkpOPPYv2Y/edit?usp=sharing"",""งบพรบ!EE69"")"),0)</f>
        <v>0</v>
      </c>
      <c r="N311" s="427">
        <f ca="1">IFERROR(__xludf.DUMMYFUNCTION("IMPORTRANGE(""https://docs.google.com/spreadsheets/d/1-uDff_7J0KD5mKrp0Vvzr7lt3OU09vwQwhkpOPPYv2Y/edit?usp=sharing"",""งบพรบ!EG69"")"),0)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IFERROR(__xludf.DUMMYFUNCTION("IMPORTRANGE(""https://docs.google.com/spreadsheets/d/1eHaY18a8A9IcSdp1K8H6x8fbOy06t2VsZHhMHf-1x7Y/edit?usp=sharing"",""แผน!EF69"")"),0)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IFERROR(__xludf.DUMMYFUNCTION("IMPORTRANGE(""https://docs.google.com/spreadsheets/d/1eHaY18a8A9IcSdp1K8H6x8fbOy06t2VsZHhMHf-1x7Y/edit?usp=sharing"",""แผน!EG69"")"),0)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IFERROR(__xludf.DUMMYFUNCTION("IMPORTRANGE(""https://docs.google.com/spreadsheets/d/1eHaY18a8A9IcSdp1K8H6x8fbOy06t2VsZHhMHf-1x7Y/edit?usp=sharing"",""แผน!EH69"")"),0)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IFERROR(__xludf.DUMMYFUNCTION("IMPORTRANGE(""https://docs.google.com/spreadsheets/d/1eHaY18a8A9IcSdp1K8H6x8fbOy06t2VsZHhMHf-1x7Y/edit?usp=sharing"",""แผน!EI69"")"),0)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1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40000</v>
      </c>
      <c r="M320" s="737">
        <f ca="1">M321+M322</f>
        <v>40000</v>
      </c>
      <c r="N320" s="737">
        <f ca="1">N321+N322</f>
        <v>1960</v>
      </c>
      <c r="O320" s="737">
        <f ca="1">IF(L320&gt;0,N320*100/L320,0)</f>
        <v>4.9000000000000004</v>
      </c>
      <c r="P320" s="737">
        <f ca="1">IF(M320&gt;0,N320*100/M320,0)</f>
        <v>4.9000000000000004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40000</v>
      </c>
      <c r="M322" s="427">
        <f ca="1">M325+M328</f>
        <v>40000</v>
      </c>
      <c r="N322" s="427">
        <f ca="1">N325+N328</f>
        <v>1960</v>
      </c>
      <c r="O322" s="427">
        <f ca="1">IF(L322&gt;0,N322*100/L322,0)</f>
        <v>4.9000000000000004</v>
      </c>
      <c r="P322" s="427">
        <f ca="1">IF(M322&gt;0,N322*100/M322,0)</f>
        <v>4.9000000000000004</v>
      </c>
    </row>
    <row r="323" spans="1:16" ht="18.75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40000</v>
      </c>
      <c r="M323" s="427">
        <f ca="1">M324+M325</f>
        <v>40000</v>
      </c>
      <c r="N323" s="427">
        <f ca="1">N324+N325</f>
        <v>1960</v>
      </c>
      <c r="O323" s="427">
        <f ca="1">IF(L323&gt;0,N323*100/L323,0)</f>
        <v>4.9000000000000004</v>
      </c>
      <c r="P323" s="427">
        <f ca="1">IF(M323&gt;0,N323*100/M323,0)</f>
        <v>4.9000000000000004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IFERROR(__xludf.DUMMYFUNCTION("IMPORTRANGE(""https://docs.google.com/spreadsheets/d/1-uDff_7J0KD5mKrp0Vvzr7lt3OU09vwQwhkpOPPYv2Y/edit?usp=sharing"",""งบพรบ!EI69"")"),40000)</f>
        <v>40000</v>
      </c>
      <c r="M325" s="427">
        <f ca="1">IFERROR(__xludf.DUMMYFUNCTION("IMPORTRANGE(""https://docs.google.com/spreadsheets/d/1-uDff_7J0KD5mKrp0Vvzr7lt3OU09vwQwhkpOPPYv2Y/edit?usp=sharing"",""งบพรบ!EN69"")"),40000)</f>
        <v>40000</v>
      </c>
      <c r="N325" s="427">
        <f ca="1">IFERROR(__xludf.DUMMYFUNCTION("IMPORTRANGE(""https://docs.google.com/spreadsheets/d/1-uDff_7J0KD5mKrp0Vvzr7lt3OU09vwQwhkpOPPYv2Y/edit?usp=sharing"",""งบพรบ!EP69"")"),1960)</f>
        <v>1960</v>
      </c>
      <c r="O325" s="427">
        <f ca="1">IF(L325&gt;0,N325*100/L325,0)</f>
        <v>4.9000000000000004</v>
      </c>
      <c r="P325" s="427">
        <f ca="1">IF(M325&gt;0,N325*100/M325,0)</f>
        <v>4.9000000000000004</v>
      </c>
    </row>
    <row r="326" spans="1:16" ht="18.75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IFERROR(__xludf.DUMMYFUNCTION("IMPORTRANGE(""https://docs.google.com/spreadsheets/d/1-uDff_7J0KD5mKrp0Vvzr7lt3OU09vwQwhkpOPPYv2Y/edit?usp=sharing"",""งบพรบ!EL69"")"),0)</f>
        <v>0</v>
      </c>
      <c r="M328" s="427">
        <f ca="1">IFERROR(__xludf.DUMMYFUNCTION("IMPORTRANGE(""https://docs.google.com/spreadsheets/d/1-uDff_7J0KD5mKrp0Vvzr7lt3OU09vwQwhkpOPPYv2Y/edit?usp=sharing"",""งบพรบ!EO69"")"),0)</f>
        <v>0</v>
      </c>
      <c r="N328" s="427">
        <f ca="1">IFERROR(__xludf.DUMMYFUNCTION("IMPORTRANGE(""https://docs.google.com/spreadsheets/d/1-uDff_7J0KD5mKrp0Vvzr7lt3OU09vwQwhkpOPPYv2Y/edit?usp=sharing"",""งบพรบ!EQ69"")"),0)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IFERROR(__xludf.DUMMYFUNCTION("IMPORTRANGE(""https://docs.google.com/spreadsheets/d/1eHaY18a8A9IcSdp1K8H6x8fbOy06t2VsZHhMHf-1x7Y/edit?usp=sharing"",""แผน!EJ69"")"),1)</f>
        <v>1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3540</v>
      </c>
      <c r="J332" s="404">
        <f ca="1">J344+J347+J348+J349+J353</f>
        <v>5585</v>
      </c>
      <c r="K332" s="405">
        <f ca="1">IF(I332&gt;0,J332*100/I332,0)</f>
        <v>157.76836158192091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116000</v>
      </c>
      <c r="M333" s="737">
        <f ca="1">M334+M335</f>
        <v>90550</v>
      </c>
      <c r="N333" s="737">
        <f ca="1">N334+N335</f>
        <v>36580</v>
      </c>
      <c r="O333" s="737">
        <f ca="1">IF(L333&gt;0,N333*100/L333,0)</f>
        <v>31.53448275862069</v>
      </c>
      <c r="P333" s="737">
        <f ca="1">IF(M333&gt;0,N333*100/M333,0)</f>
        <v>40.397570403092217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116000</v>
      </c>
      <c r="M335" s="427">
        <f ca="1">M338+M341</f>
        <v>90550</v>
      </c>
      <c r="N335" s="427">
        <f ca="1">N338+N341</f>
        <v>36580</v>
      </c>
      <c r="O335" s="427">
        <f ca="1">IF(L335&gt;0,N335*100/L335,0)</f>
        <v>31.53448275862069</v>
      </c>
      <c r="P335" s="427">
        <f ca="1">IF(M335&gt;0,N335*100/M335,0)</f>
        <v>40.397570403092217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116000</v>
      </c>
      <c r="M336" s="427">
        <f ca="1">M337+M338</f>
        <v>90550</v>
      </c>
      <c r="N336" s="427">
        <f ca="1">N337+N338</f>
        <v>36580</v>
      </c>
      <c r="O336" s="427">
        <f ca="1">IF(L336&gt;0,N336*100/L336,0)</f>
        <v>31.53448275862069</v>
      </c>
      <c r="P336" s="427">
        <f ca="1">IF(M336&gt;0,N336*100/M336,0)</f>
        <v>40.397570403092217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IFERROR(__xludf.DUMMYFUNCTION("IMPORTRANGE(""https://docs.google.com/spreadsheets/d/1-uDff_7J0KD5mKrp0Vvzr7lt3OU09vwQwhkpOPPYv2Y/edit?usp=sharing"",""งบพรบ!ES69"")"),116000)</f>
        <v>116000</v>
      </c>
      <c r="M338" s="427">
        <f ca="1">IFERROR(__xludf.DUMMYFUNCTION("IMPORTRANGE(""https://docs.google.com/spreadsheets/d/1-uDff_7J0KD5mKrp0Vvzr7lt3OU09vwQwhkpOPPYv2Y/edit?usp=sharing"",""งบพรบ!EX69"")"),90550)</f>
        <v>90550</v>
      </c>
      <c r="N338" s="427">
        <f ca="1">IFERROR(__xludf.DUMMYFUNCTION("IMPORTRANGE(""https://docs.google.com/spreadsheets/d/1-uDff_7J0KD5mKrp0Vvzr7lt3OU09vwQwhkpOPPYv2Y/edit?usp=sharing"",""งบพรบ!EZ69"")"),36580)</f>
        <v>36580</v>
      </c>
      <c r="O338" s="427">
        <f ca="1">IF(L338&gt;0,N338*100/L338,0)</f>
        <v>31.53448275862069</v>
      </c>
      <c r="P338" s="427">
        <f ca="1">IF(M338&gt;0,N338*100/M338,0)</f>
        <v>40.397570403092217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IFERROR(__xludf.DUMMYFUNCTION("IMPORTRANGE(""https://docs.google.com/spreadsheets/d/1-uDff_7J0KD5mKrp0Vvzr7lt3OU09vwQwhkpOPPYv2Y/edit?usp=sharing"",""งบพรบ!EV69"")"),0)</f>
        <v>0</v>
      </c>
      <c r="M341" s="427">
        <f ca="1">IFERROR(__xludf.DUMMYFUNCTION("IMPORTRANGE(""https://docs.google.com/spreadsheets/d/1-uDff_7J0KD5mKrp0Vvzr7lt3OU09vwQwhkpOPPYv2Y/edit?usp=sharing"",""งบพรบ!EY69"")"),0)</f>
        <v>0</v>
      </c>
      <c r="N341" s="427">
        <f ca="1">IFERROR(__xludf.DUMMYFUNCTION("IMPORTRANGE(""https://docs.google.com/spreadsheets/d/1-uDff_7J0KD5mKrp0Vvzr7lt3OU09vwQwhkpOPPYv2Y/edit?usp=sharing"",""งบพรบ!FA69"")"),0)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3019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IFERROR(__xludf.DUMMYFUNCTION("IMPORTRANGE(""https://docs.google.com/spreadsheets/d/1eHaY18a8A9IcSdp1K8H6x8fbOy06t2VsZHhMHf-1x7Y/edit?usp=sharing"",""แผน!EK69"")"),3540)</f>
        <v>3540</v>
      </c>
      <c r="J344" s="426">
        <f ca="1">IFERROR(__xludf.DUMMYFUNCTION("IMPORTRANGE(""https://docs.google.com/spreadsheets/d/1awYsYK3VOup2i3Pq_Yjnu8DRu_mYwSBnCR2QPthd0rU/edit?usp=sharing"",""ศูนย์ยกเว้นโฉนด!D69"")"),2695)</f>
        <v>2695</v>
      </c>
      <c r="K344" s="427">
        <f ca="1">IF(I344&gt;0,J344*100/I344,0)</f>
        <v>76.129943502824858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IFERROR(__xludf.DUMMYFUNCTION("IMPORTRANGE(""https://docs.google.com/spreadsheets/d/1eHaY18a8A9IcSdp1K8H6x8fbOy06t2VsZHhMHf-1x7Y/edit?usp=sharing"",""แผน!EL69"")"),5)</f>
        <v>5</v>
      </c>
      <c r="J346" s="426">
        <f ca="1">IFERROR(__xludf.DUMMYFUNCTION("IMPORTRANGE(""https://docs.google.com/spreadsheets/d/1awYsYK3VOup2i3Pq_Yjnu8DRu_mYwSBnCR2QPthd0rU/edit?usp=sharing"",""ศูนย์รวม!E69"")"),4)</f>
        <v>4</v>
      </c>
      <c r="K346" s="427">
        <f ca="1">IF(I346&gt;0,J346*100/I346,0)</f>
        <v>80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IFERROR(__xludf.DUMMYFUNCTION("IMPORTRANGE(""https://docs.google.com/spreadsheets/d/1awYsYK3VOup2i3Pq_Yjnu8DRu_mYwSBnCR2QPthd0rU/edit?usp=sharing"",""ศูนย์ยกเว้นโฉนด!F69"")"),133)</f>
        <v>133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IFERROR(__xludf.DUMMYFUNCTION("IMPORTRANGE(""https://docs.google.com/spreadsheets/d/1awYsYK3VOup2i3Pq_Yjnu8DRu_mYwSBnCR2QPthd0rU/edit?usp=sharing"",""ศูนย์ยกเว้นโฉนด!G69"")"),191)</f>
        <v>191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IFERROR(__xludf.DUMMYFUNCTION("IMPORTRANGE(""https://docs.google.com/spreadsheets/d/1awYsYK3VOup2i3Pq_Yjnu8DRu_mYwSBnCR2QPthd0rU/edit?usp=sharing"",""ศูนย์ยกเว้นโฉนด!H69"")"),0)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3260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IFERROR(__xludf.DUMMYFUNCTION("IMPORTRANGE(""https://docs.google.com/spreadsheets/d/1awYsYK3VOup2i3Pq_Yjnu8DRu_mYwSBnCR2QPthd0rU/edit?usp=sharing"",""โฉนดM3!G69"")"),694)</f>
        <v>694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IFERROR(__xludf.DUMMYFUNCTION("IMPORTRANGE(""https://docs.google.com/spreadsheets/d/1awYsYK3VOup2i3Pq_Yjnu8DRu_mYwSBnCR2QPthd0rU/edit?usp=sharing"",""โฉนดM3!H69"")"),2566)</f>
        <v>2566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693280</v>
      </c>
      <c r="M356" s="737">
        <f ca="1">M357+M358</f>
        <v>612080</v>
      </c>
      <c r="N356" s="737">
        <f ca="1">N357+N358</f>
        <v>151993.32999999999</v>
      </c>
      <c r="O356" s="737">
        <f ca="1">IF(L356&gt;0,N356*100/L356,0)</f>
        <v>21.923801350103851</v>
      </c>
      <c r="P356" s="737">
        <f ca="1">IF(M356&gt;0,N356*100/M356,0)</f>
        <v>24.832265390145075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693280</v>
      </c>
      <c r="M358" s="427">
        <f ca="1">M361+M364</f>
        <v>612080</v>
      </c>
      <c r="N358" s="427">
        <f ca="1">N361+N364</f>
        <v>151993.32999999999</v>
      </c>
      <c r="O358" s="427">
        <f ca="1">IF(L358&gt;0,N358*100/L358,0)</f>
        <v>21.923801350103851</v>
      </c>
      <c r="P358" s="427">
        <f ca="1">IF(M358&gt;0,N358*100/M358,0)</f>
        <v>24.832265390145075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693280</v>
      </c>
      <c r="M359" s="427">
        <f ca="1">M360+M361</f>
        <v>612080</v>
      </c>
      <c r="N359" s="427">
        <f ca="1">N360+N361</f>
        <v>151993.32999999999</v>
      </c>
      <c r="O359" s="427">
        <f ca="1">IF(L359&gt;0,N359*100/L359,0)</f>
        <v>21.923801350103851</v>
      </c>
      <c r="P359" s="427">
        <f ca="1">IF(M359&gt;0,N359*100/M359,0)</f>
        <v>24.832265390145075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IFERROR(__xludf.DUMMYFUNCTION("IMPORTRANGE(""https://docs.google.com/spreadsheets/d/1-uDff_7J0KD5mKrp0Vvzr7lt3OU09vwQwhkpOPPYv2Y/edit?usp=sharing"",""งบพรบ!FC69"")"),693280)</f>
        <v>693280</v>
      </c>
      <c r="M361" s="427">
        <f ca="1">IFERROR(__xludf.DUMMYFUNCTION("IMPORTRANGE(""https://docs.google.com/spreadsheets/d/1-uDff_7J0KD5mKrp0Vvzr7lt3OU09vwQwhkpOPPYv2Y/edit?usp=sharing"",""งบพรบ!FH69"")"),612080)</f>
        <v>612080</v>
      </c>
      <c r="N361" s="427">
        <f ca="1">IFERROR(__xludf.DUMMYFUNCTION("IMPORTRANGE(""https://docs.google.com/spreadsheets/d/1-uDff_7J0KD5mKrp0Vvzr7lt3OU09vwQwhkpOPPYv2Y/edit?usp=sharing"",""งบพรบ!FJ69"")"),151993.33)</f>
        <v>151993.32999999999</v>
      </c>
      <c r="O361" s="427">
        <f ca="1">IF(L361&gt;0,N361*100/L361,0)</f>
        <v>21.923801350103851</v>
      </c>
      <c r="P361" s="427">
        <f ca="1">IF(M361&gt;0,N361*100/M361,0)</f>
        <v>24.832265390145075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IFERROR(__xludf.DUMMYFUNCTION("IMPORTRANGE(""https://docs.google.com/spreadsheets/d/1-uDff_7J0KD5mKrp0Vvzr7lt3OU09vwQwhkpOPPYv2Y/edit?usp=sharing"",""งบพรบ!FF69"")"),0)</f>
        <v>0</v>
      </c>
      <c r="M364" s="427">
        <f ca="1">IFERROR(__xludf.DUMMYFUNCTION("IMPORTRANGE(""https://docs.google.com/spreadsheets/d/1-uDff_7J0KD5mKrp0Vvzr7lt3OU09vwQwhkpOPPYv2Y/edit?usp=sharing"",""งบพรบ!FI69"")"),0)</f>
        <v>0</v>
      </c>
      <c r="N364" s="427">
        <f ca="1">IFERROR(__xludf.DUMMYFUNCTION("IMPORTRANGE(""https://docs.google.com/spreadsheets/d/1-uDff_7J0KD5mKrp0Vvzr7lt3OU09vwQwhkpOPPYv2Y/edit?usp=sharing"",""งบพรบ!FK69"")"),0)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392</v>
      </c>
      <c r="J365" s="440">
        <f ca="1">J371</f>
        <v>1</v>
      </c>
      <c r="K365" s="441">
        <f ca="1">IF(I365&gt;0,J365*100/I365,0)</f>
        <v>0.25510204081632654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IFERROR(__xludf.DUMMYFUNCTION("IMPORTRANGE(""https://docs.google.com/spreadsheets/d/1tdoBKaGub7dwA3U6UFTqxio9LNnvDCQjHKmttSEBsFQ/edit?usp=sharing"",""จัดที่ดิน!AB69"")"),56)</f>
        <v>56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IFERROR(__xludf.DUMMYFUNCTION("IMPORTRANGE(""https://docs.google.com/spreadsheets/d/1eHaY18a8A9IcSdp1K8H6x8fbOy06t2VsZHhMHf-1x7Y/edit?usp=sharing"",""แผน!EW69"")"),3880)</f>
        <v>3880</v>
      </c>
      <c r="J368" s="726">
        <f ca="1">IFERROR(__xludf.DUMMYFUNCTION("IMPORTRANGE(""https://docs.google.com/spreadsheets/d/1tdoBKaGub7dwA3U6UFTqxio9LNnvDCQjHKmttSEBsFQ/edit?usp=sharing"",""จัดที่ดิน!AC69"")"),754.19)</f>
        <v>754.19</v>
      </c>
      <c r="K368" s="427">
        <f ca="1">IF(I368&gt;0,J368*100/I368,0)</f>
        <v>19.437886597938146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IFERROR(__xludf.DUMMYFUNCTION("IMPORTRANGE(""https://docs.google.com/spreadsheets/d/1eHaY18a8A9IcSdp1K8H6x8fbOy06t2VsZHhMHf-1x7Y/edit?usp=sharing"",""แผน!EX69"")"),596)</f>
        <v>596</v>
      </c>
      <c r="J369" s="426">
        <f ca="1">IFERROR(__xludf.DUMMYFUNCTION("IMPORTRANGE(""https://docs.google.com/spreadsheets/d/1tdoBKaGub7dwA3U6UFTqxio9LNnvDCQjHKmttSEBsFQ/edit?usp=sharing"",""จัดที่ดิน!AD69"")"),54)</f>
        <v>54</v>
      </c>
      <c r="K369" s="427">
        <f ca="1">IF(I369&gt;0,J369*100/I369,0)</f>
        <v>9.0604026845637584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IFERROR(__xludf.DUMMYFUNCTION("IMPORTRANGE(""https://docs.google.com/spreadsheets/d/1tdoBKaGub7dwA3U6UFTqxio9LNnvDCQjHKmttSEBsFQ/edit?usp=sharing"",""จัดที่ดิน!AE69"")"),865.86)</f>
        <v>865.86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IFERROR(__xludf.DUMMYFUNCTION("IMPORTRANGE(""https://docs.google.com/spreadsheets/d/1eHaY18a8A9IcSdp1K8H6x8fbOy06t2VsZHhMHf-1x7Y/edit?usp=sharing"",""แผน!EY69"")"),392)</f>
        <v>392</v>
      </c>
      <c r="J371" s="426">
        <f ca="1">IFERROR(__xludf.DUMMYFUNCTION("IMPORTRANGE(""https://docs.google.com/spreadsheets/d/1tdoBKaGub7dwA3U6UFTqxio9LNnvDCQjHKmttSEBsFQ/edit?usp=sharing"",""จัดที่ดิน!AF69"")"),1)</f>
        <v>1</v>
      </c>
      <c r="K371" s="427">
        <f ca="1">IF(I371&gt;0,J371*100/I371,0)</f>
        <v>0.25510204081632654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IFERROR(__xludf.DUMMYFUNCTION("IMPORTRANGE(""https://docs.google.com/spreadsheets/d/1tdoBKaGub7dwA3U6UFTqxio9LNnvDCQjHKmttSEBsFQ/edit?usp=sharing"",""จัดที่ดิน!AG69"")"),17.85)</f>
        <v>17.850000000000001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IFERROR(__xludf.DUMMYFUNCTION("IMPORTRANGE(""https://docs.google.com/spreadsheets/d/1-uDff_7J0KD5mKrp0Vvzr7lt3OU09vwQwhkpOPPYv2Y/edit?usp=sharing"",""งบพรบ!FM69"")"),0)</f>
        <v>0</v>
      </c>
      <c r="M382" s="522">
        <f ca="1">IFERROR(__xludf.DUMMYFUNCTION("IMPORTRANGE(""https://docs.google.com/spreadsheets/d/1-uDff_7J0KD5mKrp0Vvzr7lt3OU09vwQwhkpOPPYv2Y/edit?usp=sharing"",""งบพรบ!FR69"")"),0)</f>
        <v>0</v>
      </c>
      <c r="N382" s="522">
        <f ca="1">IFERROR(__xludf.DUMMYFUNCTION("IMPORTRANGE(""https://docs.google.com/spreadsheets/d/1-uDff_7J0KD5mKrp0Vvzr7lt3OU09vwQwhkpOPPYv2Y/edit?usp=sharing"",""งบพรบ!FT69"")"),0)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IFERROR(__xludf.DUMMYFUNCTION("IMPORTRANGE(""https://docs.google.com/spreadsheets/d/1-uDff_7J0KD5mKrp0Vvzr7lt3OU09vwQwhkpOPPYv2Y/edit?usp=sharing"",""งบพรบ!FP69"")"),0)</f>
        <v>0</v>
      </c>
      <c r="M385" s="522">
        <f ca="1">IFERROR(__xludf.DUMMYFUNCTION("IMPORTRANGE(""https://docs.google.com/spreadsheets/d/1-uDff_7J0KD5mKrp0Vvzr7lt3OU09vwQwhkpOPPYv2Y/edit?usp=sharing"",""งบพรบ!FS69"")"),0)</f>
        <v>0</v>
      </c>
      <c r="N385" s="522">
        <f ca="1">IFERROR(__xludf.DUMMYFUNCTION("IMPORTRANGE(""https://docs.google.com/spreadsheets/d/1-uDff_7J0KD5mKrp0Vvzr7lt3OU09vwQwhkpOPPYv2Y/edit?usp=sharing"",""งบพรบ!FU69"")"),0)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FE0-2FED-4D8C-AEE7-392ED1C725A2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5" width="3.28515625" customWidth="1"/>
    <col min="6" max="6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183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1591512</v>
      </c>
      <c r="M18" s="865">
        <f ca="1">M19+M20</f>
        <v>1288104</v>
      </c>
      <c r="N18" s="865">
        <f ca="1">N19+N20</f>
        <v>547942.81000000006</v>
      </c>
      <c r="O18" s="865">
        <f ca="1">IF(L18&gt;0,N18*100/L18,0)</f>
        <v>34.429071851170463</v>
      </c>
      <c r="P18" s="865">
        <f ca="1">IF(M18&gt;0,N18*100/M18,0)</f>
        <v>42.538708830963962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1591512</v>
      </c>
      <c r="M20" s="972">
        <f ca="1">M23+M26</f>
        <v>1288104</v>
      </c>
      <c r="N20" s="972">
        <f ca="1">N23+N26</f>
        <v>547942.81000000006</v>
      </c>
      <c r="O20" s="972">
        <f ca="1">IF(L20&gt;0,N20*100/L20,0)</f>
        <v>34.429071851170463</v>
      </c>
      <c r="P20" s="972">
        <f ca="1">IF(M20&gt;0,N20*100/M20,0)</f>
        <v>42.538708830963962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1591512</v>
      </c>
      <c r="M21" s="427">
        <f ca="1">M22+M23</f>
        <v>1288104</v>
      </c>
      <c r="N21" s="427">
        <f ca="1">N22+N23</f>
        <v>547942.81000000006</v>
      </c>
      <c r="O21" s="427">
        <f ca="1">IF(L21&gt;0,N21*100/L21,0)</f>
        <v>34.429071851170463</v>
      </c>
      <c r="P21" s="427">
        <f ca="1">IF(M21&gt;0,N21*100/M21,0)</f>
        <v>42.538708830963962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1591512</v>
      </c>
      <c r="M23" s="427">
        <f ca="1">M49+M64+M77+M99+M130+M144+M162+M191+M178+M271+M287+M308+M325+M338+M361+M382</f>
        <v>1288104</v>
      </c>
      <c r="N23" s="427">
        <f ca="1">N49+N64+N77+N99+N130+N144+N162+N191+N178+N271+N287+N308+N325+N338+N361+N382</f>
        <v>547942.81000000006</v>
      </c>
      <c r="O23" s="427">
        <f ca="1">IF(L23&gt;0,N23*100/L23,0)</f>
        <v>34.429071851170463</v>
      </c>
      <c r="P23" s="427">
        <f ca="1">IF(M23&gt;0,N23*100/M23,0)</f>
        <v>42.538708830963962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1591512</v>
      </c>
      <c r="M40" s="964">
        <f ca="1">M44+M59+M72+M94+M125+M139+M157+M173+M186+M266+M282+M303+M320+M333+M356</f>
        <v>1288104</v>
      </c>
      <c r="N40" s="964">
        <f ca="1">N44+N59+N72+N94+N125+N139+N157+N173+N186+N266+N282+N303+N320+N333+N356</f>
        <v>547942.81000000006</v>
      </c>
      <c r="O40" s="964">
        <f ca="1">IF(L40&gt;0,N40*100/L40,0)</f>
        <v>34.429071851170463</v>
      </c>
      <c r="P40" s="964">
        <f ca="1">IF(M40&gt;0,N40*100/M40,0)</f>
        <v>42.538708830963962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320492</v>
      </c>
      <c r="M44" s="949">
        <f ca="1">M45+M46</f>
        <v>326984</v>
      </c>
      <c r="N44" s="949">
        <f ca="1">N45+N46</f>
        <v>136925</v>
      </c>
      <c r="O44" s="949">
        <f ca="1">IF(L44&gt;0,N44*100/L44,0)</f>
        <v>42.72337531046017</v>
      </c>
      <c r="P44" s="949">
        <f ca="1">IF(M44&gt;0,N44*100/M44,0)</f>
        <v>41.875137621412669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320492</v>
      </c>
      <c r="M46" s="941">
        <f ca="1">M49+M52</f>
        <v>326984</v>
      </c>
      <c r="N46" s="941">
        <f ca="1">N49+N52</f>
        <v>136925</v>
      </c>
      <c r="O46" s="941">
        <f ca="1">IF(L46&gt;0,N46*100/L46,0)</f>
        <v>42.72337531046017</v>
      </c>
      <c r="P46" s="941">
        <f ca="1">IF(M46&gt;0,N46*100/M46,0)</f>
        <v>41.875137621412669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320492</v>
      </c>
      <c r="M47" s="427">
        <f ca="1">M48+M49</f>
        <v>326984</v>
      </c>
      <c r="N47" s="427">
        <f ca="1">N48+N49</f>
        <v>136925</v>
      </c>
      <c r="O47" s="427">
        <f ca="1">IF(L47&gt;0,N47*100/L47,0)</f>
        <v>42.72337531046017</v>
      </c>
      <c r="P47" s="427">
        <f ca="1">IF(M47&gt;0,N47*100/M47,0)</f>
        <v>41.875137621412669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IFERROR(__xludf.DUMMYFUNCTION("IMPORTRANGE(""https://docs.google.com/spreadsheets/d/1-uDff_7J0KD5mKrp0Vvzr7lt3OU09vwQwhkpOPPYv2Y/edit?usp=sharing"",""งบพรบ!P70"")"),320492)</f>
        <v>320492</v>
      </c>
      <c r="M49" s="427">
        <f ca="1">IFERROR(__xludf.DUMMYFUNCTION("IMPORTRANGE(""https://docs.google.com/spreadsheets/d/1-uDff_7J0KD5mKrp0Vvzr7lt3OU09vwQwhkpOPPYv2Y/edit?usp=sharing"",""งบพรบ!V70"")"),326984)</f>
        <v>326984</v>
      </c>
      <c r="N49" s="427">
        <f ca="1">IFERROR(__xludf.DUMMYFUNCTION("IMPORTRANGE(""https://docs.google.com/spreadsheets/d/1-uDff_7J0KD5mKrp0Vvzr7lt3OU09vwQwhkpOPPYv2Y/edit?usp=sharing"",""งบพรบ!Y70"")"),136925)</f>
        <v>136925</v>
      </c>
      <c r="O49" s="427">
        <f ca="1">IF(L49&gt;0,N49*100/L49,0)</f>
        <v>42.72337531046017</v>
      </c>
      <c r="P49" s="427">
        <f ca="1">IF(M49&gt;0,N49*100/M49,0)</f>
        <v>41.875137621412669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IFERROR(__xludf.DUMMYFUNCTION("IMPORTRANGE(""https://docs.google.com/spreadsheets/d/1-uDff_7J0KD5mKrp0Vvzr7lt3OU09vwQwhkpOPPYv2Y/edit?usp=sharing"",""งบพรบ!S70"")"),0)</f>
        <v>0</v>
      </c>
      <c r="M52" s="427">
        <f ca="1">IFERROR(__xludf.DUMMYFUNCTION("IMPORTRANGE(""https://docs.google.com/spreadsheets/d/1-uDff_7J0KD5mKrp0Vvzr7lt3OU09vwQwhkpOPPYv2Y/edit?usp=sharing"",""งบพรบ!W70"")"),0)</f>
        <v>0</v>
      </c>
      <c r="N52" s="427">
        <f ca="1">IFERROR(__xludf.DUMMYFUNCTION("IMPORTRANGE(""https://docs.google.com/spreadsheets/d/1-uDff_7J0KD5mKrp0Vvzr7lt3OU09vwQwhkpOPPYv2Y/edit?usp=sharing"",""งบพรบ!Z70"")"),0)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436200</v>
      </c>
      <c r="M59" s="921">
        <f ca="1">M60+M61</f>
        <v>329050</v>
      </c>
      <c r="N59" s="921">
        <f ca="1">N60+N61</f>
        <v>239473.81</v>
      </c>
      <c r="O59" s="921">
        <f ca="1">IF(L59&gt;0,N59*100/L59,0)</f>
        <v>54.900002292526366</v>
      </c>
      <c r="P59" s="921">
        <f ca="1">IF(M59&gt;0,N59*100/M59,0)</f>
        <v>72.777331712505699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436200</v>
      </c>
      <c r="M61" s="913">
        <f ca="1">M64+M67</f>
        <v>329050</v>
      </c>
      <c r="N61" s="913">
        <f ca="1">N64+N67</f>
        <v>239473.81</v>
      </c>
      <c r="O61" s="913">
        <f ca="1">IF(L61&gt;0,N61*100/L61,0)</f>
        <v>54.900002292526366</v>
      </c>
      <c r="P61" s="913">
        <f ca="1">IF(M61&gt;0,N61*100/M61,0)</f>
        <v>72.777331712505699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436200</v>
      </c>
      <c r="M62" s="427">
        <f ca="1">M63+M64</f>
        <v>329050</v>
      </c>
      <c r="N62" s="427">
        <f ca="1">N63+N64</f>
        <v>239473.81</v>
      </c>
      <c r="O62" s="427">
        <f ca="1">IF(L62&gt;0,N62*100/L62,0)</f>
        <v>54.900002292526366</v>
      </c>
      <c r="P62" s="427">
        <f ca="1">IF(M62&gt;0,N62*100/M62,0)</f>
        <v>72.777331712505699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IFERROR(__xludf.DUMMYFUNCTION("IMPORTRANGE(""https://docs.google.com/spreadsheets/d/1-uDff_7J0KD5mKrp0Vvzr7lt3OU09vwQwhkpOPPYv2Y/edit?usp=sharing"",""งบพรบ!AC70"")"),436200)</f>
        <v>436200</v>
      </c>
      <c r="M64" s="427">
        <f ca="1">IFERROR(__xludf.DUMMYFUNCTION("IMPORTRANGE(""https://docs.google.com/spreadsheets/d/1-uDff_7J0KD5mKrp0Vvzr7lt3OU09vwQwhkpOPPYv2Y/edit?usp=sharing"",""งบพรบ!AH70"")"),329050)</f>
        <v>329050</v>
      </c>
      <c r="N64" s="427">
        <f ca="1">IFERROR(__xludf.DUMMYFUNCTION("IMPORTRANGE(""https://docs.google.com/spreadsheets/d/1-uDff_7J0KD5mKrp0Vvzr7lt3OU09vwQwhkpOPPYv2Y/edit?usp=sharing"",""งบพรบ!AJ70"")"),239473.81)</f>
        <v>239473.81</v>
      </c>
      <c r="O64" s="427">
        <f ca="1">IF(L64&gt;0,N64*100/L64,0)</f>
        <v>54.900002292526366</v>
      </c>
      <c r="P64" s="427">
        <f ca="1">IF(M64&gt;0,N64*100/M64,0)</f>
        <v>72.777331712505699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IFERROR(__xludf.DUMMYFUNCTION("IMPORTRANGE(""https://docs.google.com/spreadsheets/d/1-uDff_7J0KD5mKrp0Vvzr7lt3OU09vwQwhkpOPPYv2Y/edit?usp=sharing"",""งบพรบ!AF70"")"),0)</f>
        <v>0</v>
      </c>
      <c r="M67" s="644">
        <f ca="1">IFERROR(__xludf.DUMMYFUNCTION("IMPORTRANGE(""https://docs.google.com/spreadsheets/d/1-uDff_7J0KD5mKrp0Vvzr7lt3OU09vwQwhkpOPPYv2Y/edit?usp=sharing"",""งบพรบ!AI70"")"),0)</f>
        <v>0</v>
      </c>
      <c r="N67" s="644">
        <f ca="1">IFERROR(__xludf.DUMMYFUNCTION("IMPORTRANGE(""https://docs.google.com/spreadsheets/d/1-uDff_7J0KD5mKrp0Vvzr7lt3OU09vwQwhkpOPPYv2Y/edit?usp=sharing"",""งบพรบ!AK70"")"),0)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IFERROR(__xludf.DUMMYFUNCTION("IMPORTRANGE(""https://docs.google.com/spreadsheets/d/1-uDff_7J0KD5mKrp0Vvzr7lt3OU09vwQwhkpOPPYv2Y/edit?usp=sharing"",""งบพรบ!AM70"")"),0)</f>
        <v>0</v>
      </c>
      <c r="M77" s="427">
        <f ca="1">IFERROR(__xludf.DUMMYFUNCTION("IMPORTRANGE(""https://docs.google.com/spreadsheets/d/1-uDff_7J0KD5mKrp0Vvzr7lt3OU09vwQwhkpOPPYv2Y/edit?usp=sharing"",""งบพรบ!AR70"")"),0)</f>
        <v>0</v>
      </c>
      <c r="N77" s="427">
        <f ca="1">IFERROR(__xludf.DUMMYFUNCTION("IMPORTRANGE(""https://docs.google.com/spreadsheets/d/1-uDff_7J0KD5mKrp0Vvzr7lt3OU09vwQwhkpOPPYv2Y/edit?usp=sharing"",""งบพรบ!AT70"")"),0)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IFERROR(__xludf.DUMMYFUNCTION("IMPORTRANGE(""https://docs.google.com/spreadsheets/d/1-uDff_7J0KD5mKrp0Vvzr7lt3OU09vwQwhkpOPPYv2Y/edit?usp=sharing"",""งบพรบ!AP70"")"),0)</f>
        <v>0</v>
      </c>
      <c r="M80" s="427">
        <f ca="1">IFERROR(__xludf.DUMMYFUNCTION("IMPORTRANGE(""https://docs.google.com/spreadsheets/d/1-uDff_7J0KD5mKrp0Vvzr7lt3OU09vwQwhkpOPPYv2Y/edit?usp=sharing"",""งบพรบ!AS70"")"),0)</f>
        <v>0</v>
      </c>
      <c r="N80" s="427">
        <f ca="1">IFERROR(__xludf.DUMMYFUNCTION("IMPORTRANGE(""https://docs.google.com/spreadsheets/d/1-uDff_7J0KD5mKrp0Vvzr7lt3OU09vwQwhkpOPPYv2Y/edit?usp=sharing"",""งบพรบ!AU70"")"),0)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IFERROR(__xludf.DUMMYFUNCTION("IMPORTRANGE(""https://docs.google.com/spreadsheets/d/1eHaY18a8A9IcSdp1K8H6x8fbOy06t2VsZHhMHf-1x7Y/edit?usp=sharing"",""แผน!H70"")"),0)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IFERROR(__xludf.DUMMYFUNCTION("IMPORTRANGE(""https://docs.google.com/spreadsheets/d/1eHaY18a8A9IcSdp1K8H6x8fbOy06t2VsZHhMHf-1x7Y/edit?usp=sharing"",""แผน!I70"")"),0)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IFERROR(__xludf.DUMMYFUNCTION("IMPORTRANGE(""https://docs.google.com/spreadsheets/d/1eHaY18a8A9IcSdp1K8H6x8fbOy06t2VsZHhMHf-1x7Y/edit?usp=sharing"",""แผน!F70"")"),0)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IFERROR(__xludf.DUMMYFUNCTION("IMPORTRANGE(""https://docs.google.com/spreadsheets/d/1eHaY18a8A9IcSdp1K8H6x8fbOy06t2VsZHhMHf-1x7Y/edit?usp=sharing"",""แผน!G70"")"),0)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IFERROR(__xludf.DUMMYFUNCTION("IMPORTRANGE(""https://docs.google.com/spreadsheets/d/1eHaY18a8A9IcSdp1K8H6x8fbOy06t2VsZHhMHf-1x7Y/edit?usp=sharing"",""แผน!D70"")"),0)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IFERROR(__xludf.DUMMYFUNCTION("IMPORTRANGE(""https://docs.google.com/spreadsheets/d/1eHaY18a8A9IcSdp1K8H6x8fbOy06t2VsZHhMHf-1x7Y/edit?usp=sharing"",""แผน!E70"")"),0)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IFERROR(__xludf.DUMMYFUNCTION("IMPORTRANGE(""https://docs.google.com/spreadsheets/d/1eHaY18a8A9IcSdp1K8H6x8fbOy06t2VsZHhMHf-1x7Y/edit?usp=sharing"",""แผน!J70"")"),0)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IFERROR(__xludf.DUMMYFUNCTION("IMPORTRANGE(""https://docs.google.com/spreadsheets/d/1-uDff_7J0KD5mKrp0Vvzr7lt3OU09vwQwhkpOPPYv2Y/edit?usp=sharing"",""งบพรบ!AW70"")"),0)</f>
        <v>0</v>
      </c>
      <c r="M99" s="427">
        <f ca="1">IFERROR(__xludf.DUMMYFUNCTION("IMPORTRANGE(""https://docs.google.com/spreadsheets/d/1-uDff_7J0KD5mKrp0Vvzr7lt3OU09vwQwhkpOPPYv2Y/edit?usp=sharing"",""งบพรบ!BB70"")"),0)</f>
        <v>0</v>
      </c>
      <c r="N99" s="427">
        <f ca="1">IFERROR(__xludf.DUMMYFUNCTION("IMPORTRANGE(""https://docs.google.com/spreadsheets/d/1-uDff_7J0KD5mKrp0Vvzr7lt3OU09vwQwhkpOPPYv2Y/edit?usp=sharing"",""งบพรบ!BD70"")"),0)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IFERROR(__xludf.DUMMYFUNCTION("IMPORTRANGE(""https://docs.google.com/spreadsheets/d/1-uDff_7J0KD5mKrp0Vvzr7lt3OU09vwQwhkpOPPYv2Y/edit?usp=sharing"",""งบพรบ!AZ70"")"),0)</f>
        <v>0</v>
      </c>
      <c r="M102" s="427">
        <f ca="1">IFERROR(__xludf.DUMMYFUNCTION("IMPORTRANGE(""https://docs.google.com/spreadsheets/d/1-uDff_7J0KD5mKrp0Vvzr7lt3OU09vwQwhkpOPPYv2Y/edit?usp=sharing"",""งบพรบ!BC70"")"),0)</f>
        <v>0</v>
      </c>
      <c r="N102" s="427">
        <f ca="1">IFERROR(__xludf.DUMMYFUNCTION("IMPORTRANGE(""https://docs.google.com/spreadsheets/d/1-uDff_7J0KD5mKrp0Vvzr7lt3OU09vwQwhkpOPPYv2Y/edit?usp=sharing"",""งบพรบ!BE70"")"),0)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IFERROR(__xludf.DUMMYFUNCTION("IMPORTRANGE(""https://docs.google.com/spreadsheets/d/1eHaY18a8A9IcSdp1K8H6x8fbOy06t2VsZHhMHf-1x7Y/edit?usp=sharing"",""แผน!N70"")"),0)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IFERROR(__xludf.DUMMYFUNCTION("IMPORTRANGE(""https://docs.google.com/spreadsheets/d/1eHaY18a8A9IcSdp1K8H6x8fbOy06t2VsZHhMHf-1x7Y/edit?usp=sharing"",""แผน!O70"")"),0)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IFERROR(__xludf.DUMMYFUNCTION("IMPORTRANGE(""https://docs.google.com/spreadsheets/d/1eHaY18a8A9IcSdp1K8H6x8fbOy06t2VsZHhMHf-1x7Y/edit?usp=sharing"",""แผน!R70"")"),0)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IFERROR(__xludf.DUMMYFUNCTION("IMPORTRANGE(""https://docs.google.com/spreadsheets/d/1-uDff_7J0KD5mKrp0Vvzr7lt3OU09vwQwhkpOPPYv2Y/edit?usp=sharing"",""งบพรบ!BG70"")"),0)</f>
        <v>0</v>
      </c>
      <c r="M130" s="886">
        <f ca="1">IFERROR(__xludf.DUMMYFUNCTION("IMPORTRANGE(""https://docs.google.com/spreadsheets/d/1-uDff_7J0KD5mKrp0Vvzr7lt3OU09vwQwhkpOPPYv2Y/edit?usp=sharing"",""งบพรบ!BL70"")"),0)</f>
        <v>0</v>
      </c>
      <c r="N130" s="886">
        <f ca="1">IFERROR(__xludf.DUMMYFUNCTION("IMPORTRANGE(""https://docs.google.com/spreadsheets/d/1-uDff_7J0KD5mKrp0Vvzr7lt3OU09vwQwhkpOPPYv2Y/edit?usp=sharing"",""งบพรบ!BN70"")"),0)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IFERROR(__xludf.DUMMYFUNCTION("IMPORTRANGE(""https://docs.google.com/spreadsheets/d/1-uDff_7J0KD5mKrp0Vvzr7lt3OU09vwQwhkpOPPYv2Y/edit?usp=sharing"",""งบพรบ!BJ70"")"),0)</f>
        <v>0</v>
      </c>
      <c r="M133" s="886">
        <f ca="1">IFERROR(__xludf.DUMMYFUNCTION("IMPORTRANGE(""https://docs.google.com/spreadsheets/d/1-uDff_7J0KD5mKrp0Vvzr7lt3OU09vwQwhkpOPPYv2Y/edit?usp=sharing"",""งบพรบ!BM70"")"),0)</f>
        <v>0</v>
      </c>
      <c r="N133" s="886">
        <f ca="1">IFERROR(__xludf.DUMMYFUNCTION("IMPORTRANGE(""https://docs.google.com/spreadsheets/d/1-uDff_7J0KD5mKrp0Vvzr7lt3OU09vwQwhkpOPPYv2Y/edit?usp=sharing"",""งบพรบ!BO70"")"),0)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10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1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98000</v>
      </c>
      <c r="M139" s="737">
        <f ca="1">M140+M141</f>
        <v>71800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98000</v>
      </c>
      <c r="M141" s="427">
        <f ca="1">M144+M147</f>
        <v>71800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98000</v>
      </c>
      <c r="M142" s="427">
        <f ca="1">M143+M144</f>
        <v>71800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IFERROR(__xludf.DUMMYFUNCTION("IMPORTRANGE(""https://docs.google.com/spreadsheets/d/1-uDff_7J0KD5mKrp0Vvzr7lt3OU09vwQwhkpOPPYv2Y/edit?usp=sharing"",""งบพรบ!BQ70"")"),98000)</f>
        <v>98000</v>
      </c>
      <c r="M144" s="427">
        <f ca="1">IFERROR(__xludf.DUMMYFUNCTION("IMPORTRANGE(""https://docs.google.com/spreadsheets/d/1-uDff_7J0KD5mKrp0Vvzr7lt3OU09vwQwhkpOPPYv2Y/edit?usp=sharing"",""งบพรบ!BV70"")"),71800)</f>
        <v>71800</v>
      </c>
      <c r="N144" s="427">
        <f ca="1">IFERROR(__xludf.DUMMYFUNCTION("IMPORTRANGE(""https://docs.google.com/spreadsheets/d/1-uDff_7J0KD5mKrp0Vvzr7lt3OU09vwQwhkpOPPYv2Y/edit?usp=sharing"",""งบพรบ!BX70"")"),0)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IFERROR(__xludf.DUMMYFUNCTION("IMPORTRANGE(""https://docs.google.com/spreadsheets/d/1-uDff_7J0KD5mKrp0Vvzr7lt3OU09vwQwhkpOPPYv2Y/edit?usp=sharing"",""งบพรบ!BT70"")"),0)</f>
        <v>0</v>
      </c>
      <c r="M147" s="427">
        <f ca="1">IFERROR(__xludf.DUMMYFUNCTION("IMPORTRANGE(""https://docs.google.com/spreadsheets/d/1-uDff_7J0KD5mKrp0Vvzr7lt3OU09vwQwhkpOPPYv2Y/edit?usp=sharing"",""งบพรบ!BW70"")"),0)</f>
        <v>0</v>
      </c>
      <c r="N147" s="427">
        <f ca="1">IFERROR(__xludf.DUMMYFUNCTION("IMPORTRANGE(""https://docs.google.com/spreadsheets/d/1-uDff_7J0KD5mKrp0Vvzr7lt3OU09vwQwhkpOPPYv2Y/edit?usp=sharing"",""งบพรบ!BY70"")"),0)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IFERROR(__xludf.DUMMYFUNCTION("IMPORTRANGE(""https://docs.google.com/spreadsheets/d/1eHaY18a8A9IcSdp1K8H6x8fbOy06t2VsZHhMHf-1x7Y/edit?usp=sharing"",""แผน!U70"")"),0)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IFERROR(__xludf.DUMMYFUNCTION("IMPORTRANGE(""https://docs.google.com/spreadsheets/d/1eHaY18a8A9IcSdp1K8H6x8fbOy06t2VsZHhMHf-1x7Y/edit?usp=sharing"",""แผน!V70"")"),0)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IFERROR(__xludf.DUMMYFUNCTION("IMPORTRANGE(""https://docs.google.com/spreadsheets/d/1eHaY18a8A9IcSdp1K8H6x8fbOy06t2VsZHhMHf-1x7Y/edit?usp=sharing"",""แผน!W70"")"),10)</f>
        <v>10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IFERROR(__xludf.DUMMYFUNCTION("IMPORTRANGE(""https://docs.google.com/spreadsheets/d/1eHaY18a8A9IcSdp1K8H6x8fbOy06t2VsZHhMHf-1x7Y/edit?usp=sharing"",""แผน!X70"")"),1)</f>
        <v>1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IFERROR(__xludf.DUMMYFUNCTION("IMPORTRANGE(""https://docs.google.com/spreadsheets/d/1eHaY18a8A9IcSdp1K8H6x8fbOy06t2VsZHhMHf-1x7Y/edit?usp=sharing"",""แผน!Y70"")"),0)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15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4500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4500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4500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IFERROR(__xludf.DUMMYFUNCTION("IMPORTRANGE(""https://docs.google.com/spreadsheets/d/1-uDff_7J0KD5mKrp0Vvzr7lt3OU09vwQwhkpOPPYv2Y/edit?usp=sharing"",""งบพรบ!CA70"")"),4500)</f>
        <v>4500</v>
      </c>
      <c r="M162" s="427">
        <f ca="1">IFERROR(__xludf.DUMMYFUNCTION("IMPORTRANGE(""https://docs.google.com/spreadsheets/d/1-uDff_7J0KD5mKrp0Vvzr7lt3OU09vwQwhkpOPPYv2Y/edit?usp=sharing"",""งบพรบ!CF70"")"),0)</f>
        <v>0</v>
      </c>
      <c r="N162" s="427">
        <f ca="1">IFERROR(__xludf.DUMMYFUNCTION("IMPORTRANGE(""https://docs.google.com/spreadsheets/d/1-uDff_7J0KD5mKrp0Vvzr7lt3OU09vwQwhkpOPPYv2Y/edit?usp=sharing"",""งบพรบ!CH70"")"),0)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IFERROR(__xludf.DUMMYFUNCTION("IMPORTRANGE(""https://docs.google.com/spreadsheets/d/1-uDff_7J0KD5mKrp0Vvzr7lt3OU09vwQwhkpOPPYv2Y/edit?usp=sharing"",""งบพรบ!CD70"")"),0)</f>
        <v>0</v>
      </c>
      <c r="M165" s="427">
        <f ca="1">IFERROR(__xludf.DUMMYFUNCTION("IMPORTRANGE(""https://docs.google.com/spreadsheets/d/1-uDff_7J0KD5mKrp0Vvzr7lt3OU09vwQwhkpOPPYv2Y/edit?usp=sharing"",""งบพรบ!CG70"")"),0)</f>
        <v>0</v>
      </c>
      <c r="N165" s="427">
        <f ca="1">IFERROR(__xludf.DUMMYFUNCTION("IMPORTRANGE(""https://docs.google.com/spreadsheets/d/1-uDff_7J0KD5mKrp0Vvzr7lt3OU09vwQwhkpOPPYv2Y/edit?usp=sharing"",""งบพรบ!CI70"")"),0)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IFERROR(__xludf.DUMMYFUNCTION("IMPORTRANGE(""https://docs.google.com/spreadsheets/d/1eHaY18a8A9IcSdp1K8H6x8fbOy06t2VsZHhMHf-1x7Y/edit?usp=sharing"",""แผน!Z70"")"),15)</f>
        <v>15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15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15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IFERROR(__xludf.DUMMYFUNCTION("IMPORTRANGE(""https://docs.google.com/spreadsheets/d/1-uDff_7J0KD5mKrp0Vvzr7lt3OU09vwQwhkpOPPYv2Y/edit?usp=sharing"",""งบพรบ!CK70"")"),19590)</f>
        <v>19590</v>
      </c>
      <c r="M178" s="427">
        <f ca="1">IFERROR(__xludf.DUMMYFUNCTION("IMPORTRANGE(""https://docs.google.com/spreadsheets/d/1-uDff_7J0KD5mKrp0Vvzr7lt3OU09vwQwhkpOPPYv2Y/edit?usp=sharing"",""งบพรบ!CP70"")"),19590)</f>
        <v>19590</v>
      </c>
      <c r="N178" s="427">
        <f ca="1">IFERROR(__xludf.DUMMYFUNCTION("IMPORTRANGE(""https://docs.google.com/spreadsheets/d/1-uDff_7J0KD5mKrp0Vvzr7lt3OU09vwQwhkpOPPYv2Y/edit?usp=sharing"",""งบพรบ!CR70"")"),0)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IFERROR(__xludf.DUMMYFUNCTION("IMPORTRANGE(""https://docs.google.com/spreadsheets/d/1-uDff_7J0KD5mKrp0Vvzr7lt3OU09vwQwhkpOPPYv2Y/edit?usp=sharing"",""งบพรบ!CN70"")"),0)</f>
        <v>0</v>
      </c>
      <c r="M181" s="427">
        <f ca="1">IFERROR(__xludf.DUMMYFUNCTION("IMPORTRANGE(""https://docs.google.com/spreadsheets/d/1-uDff_7J0KD5mKrp0Vvzr7lt3OU09vwQwhkpOPPYv2Y/edit?usp=sharing"",""งบพรบ!CQ70"")"),0)</f>
        <v>0</v>
      </c>
      <c r="N181" s="427">
        <f ca="1">IFERROR(__xludf.DUMMYFUNCTION("IMPORTRANGE(""https://docs.google.com/spreadsheets/d/1-uDff_7J0KD5mKrp0Vvzr7lt3OU09vwQwhkpOPPYv2Y/edit?usp=sharing"",""งบพรบ!CS70"")"),0)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IFERROR(__xludf.DUMMYFUNCTION("IMPORTRANGE(""https://docs.google.com/spreadsheets/d/1eHaY18a8A9IcSdp1K8H6x8fbOy06t2VsZHhMHf-1x7Y/edit?usp=sharing"",""แผน!AA70"")"),7)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49500</v>
      </c>
      <c r="M186" s="737">
        <f ca="1">M187+M188</f>
        <v>31500</v>
      </c>
      <c r="N186" s="737">
        <f ca="1">N187+N188</f>
        <v>0</v>
      </c>
      <c r="O186" s="737">
        <f ca="1">IF(L186&gt;0,N186*100/L186,0)</f>
        <v>0</v>
      </c>
      <c r="P186" s="737">
        <f ca="1">IF(M186&gt;0,N186*100/M186,0)</f>
        <v>0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49500</v>
      </c>
      <c r="M188" s="427">
        <f ca="1">M191+M194</f>
        <v>31500</v>
      </c>
      <c r="N188" s="427">
        <f ca="1">N191+N194</f>
        <v>0</v>
      </c>
      <c r="O188" s="427">
        <f ca="1">IF(L188&gt;0,N188*100/L188,0)</f>
        <v>0</v>
      </c>
      <c r="P188" s="427">
        <f ca="1">IF(M188&gt;0,N188*100/M188,0)</f>
        <v>0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49500</v>
      </c>
      <c r="M189" s="427">
        <f ca="1">M190+M191</f>
        <v>31500</v>
      </c>
      <c r="N189" s="427">
        <f ca="1">N190+N191</f>
        <v>0</v>
      </c>
      <c r="O189" s="427">
        <f ca="1">IF(L189&gt;0,N189*100/L189,0)</f>
        <v>0</v>
      </c>
      <c r="P189" s="427">
        <f ca="1">IF(M189&gt;0,N189*100/M189,0)</f>
        <v>0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IFERROR(__xludf.DUMMYFUNCTION("IMPORTRANGE(""https://docs.google.com/spreadsheets/d/1-uDff_7J0KD5mKrp0Vvzr7lt3OU09vwQwhkpOPPYv2Y/edit?usp=sharing"",""งบพรบ!CU70"")"),49500)</f>
        <v>49500</v>
      </c>
      <c r="M191" s="427">
        <f ca="1">IFERROR(__xludf.DUMMYFUNCTION("IMPORTRANGE(""https://docs.google.com/spreadsheets/d/1-uDff_7J0KD5mKrp0Vvzr7lt3OU09vwQwhkpOPPYv2Y/edit?usp=sharing"",""งบพรบ!CZ70"")"),31500)</f>
        <v>31500</v>
      </c>
      <c r="N191" s="427">
        <f ca="1">IFERROR(__xludf.DUMMYFUNCTION("IMPORTRANGE(""https://docs.google.com/spreadsheets/d/1-uDff_7J0KD5mKrp0Vvzr7lt3OU09vwQwhkpOPPYv2Y/edit?usp=sharing"",""งบพรบ!DB70"")"),0)</f>
        <v>0</v>
      </c>
      <c r="O191" s="427">
        <f ca="1">IF(L191&gt;0,N191*100/L191,0)</f>
        <v>0</v>
      </c>
      <c r="P191" s="427">
        <f ca="1">IF(M191&gt;0,N191*100/M191,0)</f>
        <v>0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IFERROR(__xludf.DUMMYFUNCTION("IMPORTRANGE(""https://docs.google.com/spreadsheets/d/1-uDff_7J0KD5mKrp0Vvzr7lt3OU09vwQwhkpOPPYv2Y/edit?usp=sharing"",""งบพรบ!CX70"")"),0)</f>
        <v>0</v>
      </c>
      <c r="M194" s="427">
        <f ca="1">IFERROR(__xludf.DUMMYFUNCTION("IMPORTRANGE(""https://docs.google.com/spreadsheets/d/1-uDff_7J0KD5mKrp0Vvzr7lt3OU09vwQwhkpOPPYv2Y/edit?usp=sharing"",""งบพรบ!DA70"")"),0)</f>
        <v>0</v>
      </c>
      <c r="N194" s="427">
        <f ca="1">IFERROR(__xludf.DUMMYFUNCTION("IMPORTRANGE(""https://docs.google.com/spreadsheets/d/1-uDff_7J0KD5mKrp0Vvzr7lt3OU09vwQwhkpOPPYv2Y/edit?usp=sharing"",""งบพรบ!DC70"")"),0)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IFERROR(__xludf.DUMMYFUNCTION("IMPORTRANGE(""https://docs.google.com/spreadsheets/d/1eHaY18a8A9IcSdp1K8H6x8fbOy06t2VsZHhMHf-1x7Y/edit?usp=sharing"",""แผน!AB70"")"),6000)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IFERROR(__xludf.DUMMYFUNCTION("IMPORTRANGE(""https://docs.google.com/spreadsheets/d/1eHaY18a8A9IcSdp1K8H6x8fbOy06t2VsZHhMHf-1x7Y/edit?usp=sharing"",""แผน!AE70"")"),4)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3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39000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IFERROR(__xludf.DUMMYFUNCTION("IMPORTRANGE(""https://docs.google.com/spreadsheets/d/1eHaY18a8A9IcSdp1K8H6x8fbOy06t2VsZHhMHf-1x7Y/edit?usp=sharing"",""แผน!AG70"")"),3000)</f>
        <v>3000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IFERROR(__xludf.DUMMYFUNCTION("IMPORTRANGE(""https://docs.google.com/spreadsheets/d/1eHaY18a8A9IcSdp1K8H6x8fbOy06t2VsZHhMHf-1x7Y/edit?usp=sharing"",""แผน!AH70"")"),0)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IFERROR(__xludf.DUMMYFUNCTION("IMPORTRANGE(""https://docs.google.com/spreadsheets/d/1eHaY18a8A9IcSdp1K8H6x8fbOy06t2VsZHhMHf-1x7Y/edit?usp=sharing"",""แผน!AI70"")"),24000)</f>
        <v>24000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IFERROR(__xludf.DUMMYFUNCTION("IMPORTRANGE(""https://docs.google.com/spreadsheets/d/1eHaY18a8A9IcSdp1K8H6x8fbOy06t2VsZHhMHf-1x7Y/edit?usp=sharing"",""แผน!AJ70"")"),12000)</f>
        <v>12000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IFERROR(__xludf.DUMMYFUNCTION("IMPORTRANGE(""https://docs.google.com/spreadsheets/d/1eHaY18a8A9IcSdp1K8H6x8fbOy06t2VsZHhMHf-1x7Y/edit?usp=sharing"",""แผน!AK70"")"),3)</f>
        <v>3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IFERROR(__xludf.DUMMYFUNCTION("IMPORTRANGE(""https://docs.google.com/spreadsheets/d/1eHaY18a8A9IcSdp1K8H6x8fbOy06t2VsZHhMHf-1x7Y/edit?usp=sharing"",""แผน!JX70"")"),3)</f>
        <v>3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IFERROR(__xludf.DUMMYFUNCTION("IMPORTRANGE(""https://docs.google.com/spreadsheets/d/1eHaY18a8A9IcSdp1K8H6x8fbOy06t2VsZHhMHf-1x7Y/edit?usp=sharing"",""แผน!JY70"")"),0)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IFERROR(__xludf.DUMMYFUNCTION("IMPORTRANGE(""https://docs.google.com/spreadsheets/d/1eHaY18a8A9IcSdp1K8H6x8fbOy06t2VsZHhMHf-1x7Y/edit?usp=sharing"",""แผน!AM70"")"),0)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IFERROR(__xludf.DUMMYFUNCTION("IMPORTRANGE(""https://docs.google.com/spreadsheets/d/1eHaY18a8A9IcSdp1K8H6x8fbOy06t2VsZHhMHf-1x7Y/edit?usp=sharing"",""แผน!AN70"")"),0)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IFERROR(__xludf.DUMMYFUNCTION("IMPORTRANGE(""https://docs.google.com/spreadsheets/d/1eHaY18a8A9IcSdp1K8H6x8fbOy06t2VsZHhMHf-1x7Y/edit?usp=sharing"",""แผน!AO70"")"),0)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IFERROR(__xludf.DUMMYFUNCTION("IMPORTRANGE(""https://docs.google.com/spreadsheets/d/1eHaY18a8A9IcSdp1K8H6x8fbOy06t2VsZHhMHf-1x7Y/edit?usp=sharing"",""แผน!AP70"")"),0)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IFERROR(__xludf.DUMMYFUNCTION("IMPORTRANGE(""https://docs.google.com/spreadsheets/d/1eHaY18a8A9IcSdp1K8H6x8fbOy06t2VsZHhMHf-1x7Y/edit?usp=sharing"",""แผน!AP70"")"),0)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IFERROR(__xludf.DUMMYFUNCTION("IMPORTRANGE(""https://docs.google.com/spreadsheets/d/1eHaY18a8A9IcSdp1K8H6x8fbOy06t2VsZHhMHf-1x7Y/edit?usp=sharing"",""แผน!AR70"")"),3000)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IFERROR(__xludf.DUMMYFUNCTION("IMPORTRANGE(""https://docs.google.com/spreadsheets/d/1eHaY18a8A9IcSdp1K8H6x8fbOy06t2VsZHhMHf-1x7Y/edit?usp=sharing"",""แผน!AS70"")"),1500)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IFERROR(__xludf.DUMMYFUNCTION("IMPORTRANGE(""https://docs.google.com/spreadsheets/d/1eHaY18a8A9IcSdp1K8H6x8fbOy06t2VsZHhMHf-1x7Y/edit?usp=sharing"",""แผน!AT70"")"),0)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IFERROR(__xludf.DUMMYFUNCTION("IMPORTRANGE(""https://docs.google.com/spreadsheets/d/1eHaY18a8A9IcSdp1K8H6x8fbOy06t2VsZHhMHf-1x7Y/edit?usp=sharing"",""แผน!AV70"")"),20000)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IFERROR(__xludf.DUMMYFUNCTION("IMPORTRANGE(""https://docs.google.com/spreadsheets/d/1eHaY18a8A9IcSdp1K8H6x8fbOy06t2VsZHhMHf-1x7Y/edit?usp=sharing"",""แผน!AV70"")"),20000)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IFERROR(__xludf.DUMMYFUNCTION("IMPORTRANGE(""https://docs.google.com/spreadsheets/d/1eHaY18a8A9IcSdp1K8H6x8fbOy06t2VsZHhMHf-1x7Y/edit?usp=sharing"",""แผน!AU70"")"),0)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IFERROR(__xludf.DUMMYFUNCTION("IMPORTRANGE(""https://docs.google.com/spreadsheets/d/1eHaY18a8A9IcSdp1K8H6x8fbOy06t2VsZHhMHf-1x7Y/edit?usp=sharing"",""แผน!AX70"")"),0)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IFERROR(__xludf.DUMMYFUNCTION("IMPORTRANGE(""https://docs.google.com/spreadsheets/d/1eHaY18a8A9IcSdp1K8H6x8fbOy06t2VsZHhMHf-1x7Y/edit?usp=sharing"",""แผน!AY70"")"),0)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IFERROR(__xludf.DUMMYFUNCTION("IMPORTRANGE(""https://docs.google.com/spreadsheets/d/1eHaY18a8A9IcSdp1K8H6x8fbOy06t2VsZHhMHf-1x7Y/edit?usp=sharing"",""แผน!AZ70"")"),0)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IFERROR(__xludf.DUMMYFUNCTION("IMPORTRANGE(""https://docs.google.com/spreadsheets/d/1eHaY18a8A9IcSdp1K8H6x8fbOy06t2VsZHhMHf-1x7Y/edit?usp=sharing"",""แผน!BA70"")"),0)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IFERROR(__xludf.DUMMYFUNCTION("IMPORTRANGE(""https://docs.google.com/spreadsheets/d/1eHaY18a8A9IcSdp1K8H6x8fbOy06t2VsZHhMHf-1x7Y/edit?usp=sharing"",""แผน!BG70"")"),0)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IFERROR(__xludf.DUMMYFUNCTION("IMPORTRANGE(""https://docs.google.com/spreadsheets/d/1eHaY18a8A9IcSdp1K8H6x8fbOy06t2VsZHhMHf-1x7Y/edit?usp=sharing"",""แผน!BB70"")"),0)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IFERROR(__xludf.DUMMYFUNCTION("IMPORTRANGE(""https://docs.google.com/spreadsheets/d/1eHaY18a8A9IcSdp1K8H6x8fbOy06t2VsZHhMHf-1x7Y/edit?usp=sharing"",""แผน!BC70"")"),0)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IFERROR(__xludf.DUMMYFUNCTION("IMPORTRANGE(""https://docs.google.com/spreadsheets/d/1eHaY18a8A9IcSdp1K8H6x8fbOy06t2VsZHhMHf-1x7Y/edit?usp=sharing"",""แผน!BD70"")"),0)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IFERROR(__xludf.DUMMYFUNCTION("IMPORTRANGE(""https://docs.google.com/spreadsheets/d/1eHaY18a8A9IcSdp1K8H6x8fbOy06t2VsZHhMHf-1x7Y/edit?usp=sharing"",""แผน!BE70"")"),0)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IFERROR(__xludf.DUMMYFUNCTION("IMPORTRANGE(""https://docs.google.com/spreadsheets/d/1eHaY18a8A9IcSdp1K8H6x8fbOy06t2VsZHhMHf-1x7Y/edit?usp=sharing"",""แผน!BH70"")"),0)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IFERROR(__xludf.DUMMYFUNCTION("IMPORTRANGE(""https://docs.google.com/spreadsheets/d/1-uDff_7J0KD5mKrp0Vvzr7lt3OU09vwQwhkpOPPYv2Y/edit?usp=sharing"",""งบพรบ!DE70"")"),0)</f>
        <v>0</v>
      </c>
      <c r="M271" s="522">
        <f ca="1">IFERROR(__xludf.DUMMYFUNCTION("IMPORTRANGE(""https://docs.google.com/spreadsheets/d/1-uDff_7J0KD5mKrp0Vvzr7lt3OU09vwQwhkpOPPYv2Y/edit?usp=sharing"",""งบพรบ!DJ70"")"),0)</f>
        <v>0</v>
      </c>
      <c r="N271" s="522">
        <f ca="1">IFERROR(__xludf.DUMMYFUNCTION("IMPORTRANGE(""https://docs.google.com/spreadsheets/d/1-uDff_7J0KD5mKrp0Vvzr7lt3OU09vwQwhkpOPPYv2Y/edit?usp=sharing"",""งบพรบ!DL70"")"),0)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IFERROR(__xludf.DUMMYFUNCTION("IMPORTRANGE(""https://docs.google.com/spreadsheets/d/1-uDff_7J0KD5mKrp0Vvzr7lt3OU09vwQwhkpOPPYv2Y/edit?usp=sharing"",""งบพรบ!DH70"")"),0)</f>
        <v>0</v>
      </c>
      <c r="M274" s="522">
        <f ca="1">IFERROR(__xludf.DUMMYFUNCTION("IMPORTRANGE(""https://docs.google.com/spreadsheets/d/1-uDff_7J0KD5mKrp0Vvzr7lt3OU09vwQwhkpOPPYv2Y/edit?usp=sharing"",""งบพรบ!DK70"")"),0)</f>
        <v>0</v>
      </c>
      <c r="N274" s="522">
        <f ca="1">IFERROR(__xludf.DUMMYFUNCTION("IMPORTRANGE(""https://docs.google.com/spreadsheets/d/1-uDff_7J0KD5mKrp0Vvzr7lt3OU09vwQwhkpOPPYv2Y/edit?usp=sharing"",""งบพรบ!DM70"")"),0)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IFERROR(__xludf.DUMMYFUNCTION("IMPORTRANGE(""https://docs.google.com/spreadsheets/d/1-uDff_7J0KD5mKrp0Vvzr7lt3OU09vwQwhkpOPPYv2Y/edit?usp=sharing"",""งบพรบ!DO70"")"),0)</f>
        <v>0</v>
      </c>
      <c r="M287" s="427">
        <f ca="1">IFERROR(__xludf.DUMMYFUNCTION("IMPORTRANGE(""https://docs.google.com/spreadsheets/d/1-uDff_7J0KD5mKrp0Vvzr7lt3OU09vwQwhkpOPPYv2Y/edit?usp=sharing"",""งบพรบ!DT70"")"),0)</f>
        <v>0</v>
      </c>
      <c r="N287" s="427">
        <f ca="1">IFERROR(__xludf.DUMMYFUNCTION("IMPORTRANGE(""https://docs.google.com/spreadsheets/d/1-uDff_7J0KD5mKrp0Vvzr7lt3OU09vwQwhkpOPPYv2Y/edit?usp=sharing"",""งบพรบ!DV70"")"),0)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IFERROR(__xludf.DUMMYFUNCTION("IMPORTRANGE(""https://docs.google.com/spreadsheets/d/1-uDff_7J0KD5mKrp0Vvzr7lt3OU09vwQwhkpOPPYv2Y/edit?usp=sharing"",""งบพรบ!DR70"")"),0)</f>
        <v>0</v>
      </c>
      <c r="M290" s="427">
        <f ca="1">IFERROR(__xludf.DUMMYFUNCTION("IMPORTRANGE(""https://docs.google.com/spreadsheets/d/1-uDff_7J0KD5mKrp0Vvzr7lt3OU09vwQwhkpOPPYv2Y/edit?usp=sharing"",""งบพรบ!DU70"")"),0)</f>
        <v>0</v>
      </c>
      <c r="N290" s="427">
        <f ca="1">IFERROR(__xludf.DUMMYFUNCTION("IMPORTRANGE(""https://docs.google.com/spreadsheets/d/1-uDff_7J0KD5mKrp0Vvzr7lt3OU09vwQwhkpOPPYv2Y/edit?usp=sharing"",""งบพรบ!DW70"")"),0)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IFERROR(__xludf.DUMMYFUNCTION("IMPORTRANGE(""https://docs.google.com/spreadsheets/d/1eHaY18a8A9IcSdp1K8H6x8fbOy06t2VsZHhMHf-1x7Y/edit?usp=sharing"",""แผน!EE70"")"),0)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IFERROR(__xludf.DUMMYFUNCTION("IMPORTRANGE(""https://docs.google.com/spreadsheets/d/1eHaY18a8A9IcSdp1K8H6x8fbOy06t2VsZHhMHf-1x7Y/edit?usp=sharing"",""แผน!ED70"")"),0)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IFERROR(__xludf.DUMMYFUNCTION("IMPORTRANGE(""https://docs.google.com/spreadsheets/d/1eHaY18a8A9IcSdp1K8H6x8fbOy06t2VsZHhMHf-1x7Y/edit?usp=sharing"",""แผน!ED70"")"),0)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IFERROR(__xludf.DUMMYFUNCTION("IMPORTRANGE(""https://docs.google.com/spreadsheets/d/1eHaY18a8A9IcSdp1K8H6x8fbOy06t2VsZHhMHf-1x7Y/edit?usp=sharing"",""แผน!ED70"")"),0)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IFERROR(__xludf.DUMMYFUNCTION("IMPORTRANGE(""https://docs.google.com/spreadsheets/d/1-uDff_7J0KD5mKrp0Vvzr7lt3OU09vwQwhkpOPPYv2Y/edit?usp=sharing"",""งบพรบ!DY70"")"),0)</f>
        <v>0</v>
      </c>
      <c r="M308" s="427">
        <f ca="1">IFERROR(__xludf.DUMMYFUNCTION("IMPORTRANGE(""https://docs.google.com/spreadsheets/d/1-uDff_7J0KD5mKrp0Vvzr7lt3OU09vwQwhkpOPPYv2Y/edit?usp=sharing"",""งบพรบ!ED70"")"),0)</f>
        <v>0</v>
      </c>
      <c r="N308" s="427">
        <f ca="1">IFERROR(__xludf.DUMMYFUNCTION("IMPORTRANGE(""https://docs.google.com/spreadsheets/d/1-uDff_7J0KD5mKrp0Vvzr7lt3OU09vwQwhkpOPPYv2Y/edit?usp=sharing"",""งบพรบ!EF70"")"),0)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IFERROR(__xludf.DUMMYFUNCTION("IMPORTRANGE(""https://docs.google.com/spreadsheets/d/1-uDff_7J0KD5mKrp0Vvzr7lt3OU09vwQwhkpOPPYv2Y/edit?usp=sharing"",""งบพรบ!EB70"")"),0)</f>
        <v>0</v>
      </c>
      <c r="M311" s="427">
        <f ca="1">IFERROR(__xludf.DUMMYFUNCTION("IMPORTRANGE(""https://docs.google.com/spreadsheets/d/1-uDff_7J0KD5mKrp0Vvzr7lt3OU09vwQwhkpOPPYv2Y/edit?usp=sharing"",""งบพรบ!EE70"")"),0)</f>
        <v>0</v>
      </c>
      <c r="N311" s="427">
        <f ca="1">IFERROR(__xludf.DUMMYFUNCTION("IMPORTRANGE(""https://docs.google.com/spreadsheets/d/1-uDff_7J0KD5mKrp0Vvzr7lt3OU09vwQwhkpOPPYv2Y/edit?usp=sharing"",""งบพรบ!EG70"")"),0)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IFERROR(__xludf.DUMMYFUNCTION("IMPORTRANGE(""https://docs.google.com/spreadsheets/d/1eHaY18a8A9IcSdp1K8H6x8fbOy06t2VsZHhMHf-1x7Y/edit?usp=sharing"",""แผน!EF70"")"),0)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IFERROR(__xludf.DUMMYFUNCTION("IMPORTRANGE(""https://docs.google.com/spreadsheets/d/1eHaY18a8A9IcSdp1K8H6x8fbOy06t2VsZHhMHf-1x7Y/edit?usp=sharing"",""แผน!EG70"")"),0)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IFERROR(__xludf.DUMMYFUNCTION("IMPORTRANGE(""https://docs.google.com/spreadsheets/d/1eHaY18a8A9IcSdp1K8H6x8fbOy06t2VsZHhMHf-1x7Y/edit?usp=sharing"",""แผน!EH70"")"),0)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IFERROR(__xludf.DUMMYFUNCTION("IMPORTRANGE(""https://docs.google.com/spreadsheets/d/1eHaY18a8A9IcSdp1K8H6x8fbOy06t2VsZHhMHf-1x7Y/edit?usp=sharing"",""แผน!EI70"")"),0)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IFERROR(__xludf.DUMMYFUNCTION("IMPORTRANGE(""https://docs.google.com/spreadsheets/d/1-uDff_7J0KD5mKrp0Vvzr7lt3OU09vwQwhkpOPPYv2Y/edit?usp=sharing"",""งบพรบ!EI70"")"),0)</f>
        <v>0</v>
      </c>
      <c r="M325" s="427">
        <f ca="1">IFERROR(__xludf.DUMMYFUNCTION("IMPORTRANGE(""https://docs.google.com/spreadsheets/d/1-uDff_7J0KD5mKrp0Vvzr7lt3OU09vwQwhkpOPPYv2Y/edit?usp=sharing"",""งบพรบ!EN70"")"),0)</f>
        <v>0</v>
      </c>
      <c r="N325" s="427">
        <f ca="1">IFERROR(__xludf.DUMMYFUNCTION("IMPORTRANGE(""https://docs.google.com/spreadsheets/d/1-uDff_7J0KD5mKrp0Vvzr7lt3OU09vwQwhkpOPPYv2Y/edit?usp=sharing"",""งบพรบ!EP70"")"),0)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IFERROR(__xludf.DUMMYFUNCTION("IMPORTRANGE(""https://docs.google.com/spreadsheets/d/1-uDff_7J0KD5mKrp0Vvzr7lt3OU09vwQwhkpOPPYv2Y/edit?usp=sharing"",""งบพรบ!EL70"")"),0)</f>
        <v>0</v>
      </c>
      <c r="M328" s="427">
        <f ca="1">IFERROR(__xludf.DUMMYFUNCTION("IMPORTRANGE(""https://docs.google.com/spreadsheets/d/1-uDff_7J0KD5mKrp0Vvzr7lt3OU09vwQwhkpOPPYv2Y/edit?usp=sharing"",""งบพรบ!EO70"")"),0)</f>
        <v>0</v>
      </c>
      <c r="N328" s="427">
        <f ca="1">IFERROR(__xludf.DUMMYFUNCTION("IMPORTRANGE(""https://docs.google.com/spreadsheets/d/1-uDff_7J0KD5mKrp0Vvzr7lt3OU09vwQwhkpOPPYv2Y/edit?usp=sharing"",""งบพรบ!EQ70"")"),0)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IFERROR(__xludf.DUMMYFUNCTION("IMPORTRANGE(""https://docs.google.com/spreadsheets/d/1eHaY18a8A9IcSdp1K8H6x8fbOy06t2VsZHhMHf-1x7Y/edit?usp=sharing"",""แผน!EJ70"")"),0)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1000</v>
      </c>
      <c r="J332" s="404">
        <f ca="1">J344+J347+J348+J349+J353</f>
        <v>1578</v>
      </c>
      <c r="K332" s="405">
        <f ca="1">IF(I332&gt;0,J332*100/I332,0)</f>
        <v>157.80000000000001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104000</v>
      </c>
      <c r="M333" s="737">
        <f ca="1">M334+M335</f>
        <v>83750</v>
      </c>
      <c r="N333" s="737">
        <f ca="1">N334+N335</f>
        <v>25161</v>
      </c>
      <c r="O333" s="737">
        <f ca="1">IF(L333&gt;0,N333*100/L333,0)</f>
        <v>24.193269230769232</v>
      </c>
      <c r="P333" s="737">
        <f ca="1">IF(M333&gt;0,N333*100/M333,0)</f>
        <v>30.042985074626866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104000</v>
      </c>
      <c r="M335" s="427">
        <f ca="1">M338+M341</f>
        <v>83750</v>
      </c>
      <c r="N335" s="427">
        <f ca="1">N338+N341</f>
        <v>25161</v>
      </c>
      <c r="O335" s="427">
        <f ca="1">IF(L335&gt;0,N335*100/L335,0)</f>
        <v>24.193269230769232</v>
      </c>
      <c r="P335" s="427">
        <f ca="1">IF(M335&gt;0,N335*100/M335,0)</f>
        <v>30.042985074626866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104000</v>
      </c>
      <c r="M336" s="427">
        <f ca="1">M337+M338</f>
        <v>83750</v>
      </c>
      <c r="N336" s="427">
        <f ca="1">N337+N338</f>
        <v>25161</v>
      </c>
      <c r="O336" s="427">
        <f ca="1">IF(L336&gt;0,N336*100/L336,0)</f>
        <v>24.193269230769232</v>
      </c>
      <c r="P336" s="427">
        <f ca="1">IF(M336&gt;0,N336*100/M336,0)</f>
        <v>30.042985074626866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IFERROR(__xludf.DUMMYFUNCTION("IMPORTRANGE(""https://docs.google.com/spreadsheets/d/1-uDff_7J0KD5mKrp0Vvzr7lt3OU09vwQwhkpOPPYv2Y/edit?usp=sharing"",""งบพรบ!ES70"")"),104000)</f>
        <v>104000</v>
      </c>
      <c r="M338" s="427">
        <f ca="1">IFERROR(__xludf.DUMMYFUNCTION("IMPORTRANGE(""https://docs.google.com/spreadsheets/d/1-uDff_7J0KD5mKrp0Vvzr7lt3OU09vwQwhkpOPPYv2Y/edit?usp=sharing"",""งบพรบ!EX70"")"),83750)</f>
        <v>83750</v>
      </c>
      <c r="N338" s="427">
        <f ca="1">IFERROR(__xludf.DUMMYFUNCTION("IMPORTRANGE(""https://docs.google.com/spreadsheets/d/1-uDff_7J0KD5mKrp0Vvzr7lt3OU09vwQwhkpOPPYv2Y/edit?usp=sharing"",""งบพรบ!EZ70"")"),25161)</f>
        <v>25161</v>
      </c>
      <c r="O338" s="427">
        <f ca="1">IF(L338&gt;0,N338*100/L338,0)</f>
        <v>24.193269230769232</v>
      </c>
      <c r="P338" s="427">
        <f ca="1">IF(M338&gt;0,N338*100/M338,0)</f>
        <v>30.042985074626866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IFERROR(__xludf.DUMMYFUNCTION("IMPORTRANGE(""https://docs.google.com/spreadsheets/d/1-uDff_7J0KD5mKrp0Vvzr7lt3OU09vwQwhkpOPPYv2Y/edit?usp=sharing"",""งบพรบ!EV70"")"),0)</f>
        <v>0</v>
      </c>
      <c r="M341" s="427">
        <f ca="1">IFERROR(__xludf.DUMMYFUNCTION("IMPORTRANGE(""https://docs.google.com/spreadsheets/d/1-uDff_7J0KD5mKrp0Vvzr7lt3OU09vwQwhkpOPPYv2Y/edit?usp=sharing"",""งบพรบ!EY70"")"),0)</f>
        <v>0</v>
      </c>
      <c r="N341" s="427">
        <f ca="1">IFERROR(__xludf.DUMMYFUNCTION("IMPORTRANGE(""https://docs.google.com/spreadsheets/d/1-uDff_7J0KD5mKrp0Vvzr7lt3OU09vwQwhkpOPPYv2Y/edit?usp=sharing"",""งบพรบ!FA70"")"),0)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326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IFERROR(__xludf.DUMMYFUNCTION("IMPORTRANGE(""https://docs.google.com/spreadsheets/d/1eHaY18a8A9IcSdp1K8H6x8fbOy06t2VsZHhMHf-1x7Y/edit?usp=sharing"",""แผน!EK70"")"),1000)</f>
        <v>1000</v>
      </c>
      <c r="J344" s="426">
        <f ca="1">IFERROR(__xludf.DUMMYFUNCTION("IMPORTRANGE(""https://docs.google.com/spreadsheets/d/1awYsYK3VOup2i3Pq_Yjnu8DRu_mYwSBnCR2QPthd0rU/edit?usp=sharing"",""ศูนย์ยกเว้นโฉนด!D70"")"),324)</f>
        <v>324</v>
      </c>
      <c r="K344" s="427">
        <f ca="1">IF(I344&gt;0,J344*100/I344,0)</f>
        <v>32.4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IFERROR(__xludf.DUMMYFUNCTION("IMPORTRANGE(""https://docs.google.com/spreadsheets/d/1eHaY18a8A9IcSdp1K8H6x8fbOy06t2VsZHhMHf-1x7Y/edit?usp=sharing"",""แผน!EL70"")"),2)</f>
        <v>2</v>
      </c>
      <c r="J346" s="426">
        <f ca="1">IFERROR(__xludf.DUMMYFUNCTION("IMPORTRANGE(""https://docs.google.com/spreadsheets/d/1awYsYK3VOup2i3Pq_Yjnu8DRu_mYwSBnCR2QPthd0rU/edit?usp=sharing"",""ศูนย์รวม!E70"")"),4)</f>
        <v>4</v>
      </c>
      <c r="K346" s="427">
        <f ca="1">IF(I346&gt;0,J346*100/I346,0)</f>
        <v>200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IFERROR(__xludf.DUMMYFUNCTION("IMPORTRANGE(""https://docs.google.com/spreadsheets/d/1awYsYK3VOup2i3Pq_Yjnu8DRu_mYwSBnCR2QPthd0rU/edit?usp=sharing"",""ศูนย์ยกเว้นโฉนด!F70"")"),0)</f>
        <v>0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IFERROR(__xludf.DUMMYFUNCTION("IMPORTRANGE(""https://docs.google.com/spreadsheets/d/1awYsYK3VOup2i3Pq_Yjnu8DRu_mYwSBnCR2QPthd0rU/edit?usp=sharing"",""ศูนย์ยกเว้นโฉนด!G70"")"),2)</f>
        <v>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IFERROR(__xludf.DUMMYFUNCTION("IMPORTRANGE(""https://docs.google.com/spreadsheets/d/1awYsYK3VOup2i3Pq_Yjnu8DRu_mYwSBnCR2QPthd0rU/edit?usp=sharing"",""ศูนย์ยกเว้นโฉนด!H70"")"),0)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1702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IFERROR(__xludf.DUMMYFUNCTION("IMPORTRANGE(""https://docs.google.com/spreadsheets/d/1awYsYK3VOup2i3Pq_Yjnu8DRu_mYwSBnCR2QPthd0rU/edit?usp=sharing"",""โฉนดM3!G70"")"),450)</f>
        <v>450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IFERROR(__xludf.DUMMYFUNCTION("IMPORTRANGE(""https://docs.google.com/spreadsheets/d/1awYsYK3VOup2i3Pq_Yjnu8DRu_mYwSBnCR2QPthd0rU/edit?usp=sharing"",""โฉนดM3!H70"")"),1252)</f>
        <v>1252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559230</v>
      </c>
      <c r="M356" s="737">
        <f ca="1">M357+M358</f>
        <v>425430</v>
      </c>
      <c r="N356" s="737">
        <f ca="1">N357+N358</f>
        <v>146383</v>
      </c>
      <c r="O356" s="737">
        <f ca="1">IF(L356&gt;0,N356*100/L356,0)</f>
        <v>26.175813171682492</v>
      </c>
      <c r="P356" s="737">
        <f ca="1">IF(M356&gt;0,N356*100/M356,0)</f>
        <v>34.408245774863083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559230</v>
      </c>
      <c r="M358" s="427">
        <f ca="1">M361+M364</f>
        <v>425430</v>
      </c>
      <c r="N358" s="427">
        <f ca="1">N361+N364</f>
        <v>146383</v>
      </c>
      <c r="O358" s="427">
        <f ca="1">IF(L358&gt;0,N358*100/L358,0)</f>
        <v>26.175813171682492</v>
      </c>
      <c r="P358" s="427">
        <f ca="1">IF(M358&gt;0,N358*100/M358,0)</f>
        <v>34.408245774863083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559230</v>
      </c>
      <c r="M359" s="427">
        <f ca="1">M360+M361</f>
        <v>425430</v>
      </c>
      <c r="N359" s="427">
        <f ca="1">N360+N361</f>
        <v>146383</v>
      </c>
      <c r="O359" s="427">
        <f ca="1">IF(L359&gt;0,N359*100/L359,0)</f>
        <v>26.175813171682492</v>
      </c>
      <c r="P359" s="427">
        <f ca="1">IF(M359&gt;0,N359*100/M359,0)</f>
        <v>34.408245774863083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IFERROR(__xludf.DUMMYFUNCTION("IMPORTRANGE(""https://docs.google.com/spreadsheets/d/1-uDff_7J0KD5mKrp0Vvzr7lt3OU09vwQwhkpOPPYv2Y/edit?usp=sharing"",""งบพรบ!FC70"")"),559230)</f>
        <v>559230</v>
      </c>
      <c r="M361" s="427">
        <f ca="1">IFERROR(__xludf.DUMMYFUNCTION("IMPORTRANGE(""https://docs.google.com/spreadsheets/d/1-uDff_7J0KD5mKrp0Vvzr7lt3OU09vwQwhkpOPPYv2Y/edit?usp=sharing"",""งบพรบ!FH70"")"),425430)</f>
        <v>425430</v>
      </c>
      <c r="N361" s="427">
        <f ca="1">IFERROR(__xludf.DUMMYFUNCTION("IMPORTRANGE(""https://docs.google.com/spreadsheets/d/1-uDff_7J0KD5mKrp0Vvzr7lt3OU09vwQwhkpOPPYv2Y/edit?usp=sharing"",""งบพรบ!FJ70"")"),146383)</f>
        <v>146383</v>
      </c>
      <c r="O361" s="427">
        <f ca="1">IF(L361&gt;0,N361*100/L361,0)</f>
        <v>26.175813171682492</v>
      </c>
      <c r="P361" s="427">
        <f ca="1">IF(M361&gt;0,N361*100/M361,0)</f>
        <v>34.408245774863083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IFERROR(__xludf.DUMMYFUNCTION("IMPORTRANGE(""https://docs.google.com/spreadsheets/d/1-uDff_7J0KD5mKrp0Vvzr7lt3OU09vwQwhkpOPPYv2Y/edit?usp=sharing"",""งบพรบ!FF70"")"),0)</f>
        <v>0</v>
      </c>
      <c r="M364" s="427">
        <f ca="1">IFERROR(__xludf.DUMMYFUNCTION("IMPORTRANGE(""https://docs.google.com/spreadsheets/d/1-uDff_7J0KD5mKrp0Vvzr7lt3OU09vwQwhkpOPPYv2Y/edit?usp=sharing"",""งบพรบ!FI70"")"),0)</f>
        <v>0</v>
      </c>
      <c r="N364" s="427">
        <f ca="1">IFERROR(__xludf.DUMMYFUNCTION("IMPORTRANGE(""https://docs.google.com/spreadsheets/d/1-uDff_7J0KD5mKrp0Vvzr7lt3OU09vwQwhkpOPPYv2Y/edit?usp=sharing"",""งบพรบ!FK70"")"),0)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73</v>
      </c>
      <c r="J365" s="440">
        <f ca="1">J371</f>
        <v>20</v>
      </c>
      <c r="K365" s="441">
        <f ca="1">IF(I365&gt;0,J365*100/I365,0)</f>
        <v>27.397260273972602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IFERROR(__xludf.DUMMYFUNCTION("IMPORTRANGE(""https://docs.google.com/spreadsheets/d/1tdoBKaGub7dwA3U6UFTqxio9LNnvDCQjHKmttSEBsFQ/edit?usp=sharing"",""จัดที่ดิน!AB70"")"),48)</f>
        <v>48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IFERROR(__xludf.DUMMYFUNCTION("IMPORTRANGE(""https://docs.google.com/spreadsheets/d/1eHaY18a8A9IcSdp1K8H6x8fbOy06t2VsZHhMHf-1x7Y/edit?usp=sharing"",""แผน!EW70"")"),565)</f>
        <v>565</v>
      </c>
      <c r="J368" s="726">
        <f ca="1">IFERROR(__xludf.DUMMYFUNCTION("IMPORTRANGE(""https://docs.google.com/spreadsheets/d/1tdoBKaGub7dwA3U6UFTqxio9LNnvDCQjHKmttSEBsFQ/edit?usp=sharing"",""จัดที่ดิน!AC70"")"),537.349999999999)</f>
        <v>537.349999999999</v>
      </c>
      <c r="K368" s="427">
        <f ca="1">IF(I368&gt;0,J368*100/I368,0)</f>
        <v>95.106194690265312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IFERROR(__xludf.DUMMYFUNCTION("IMPORTRANGE(""https://docs.google.com/spreadsheets/d/1eHaY18a8A9IcSdp1K8H6x8fbOy06t2VsZHhMHf-1x7Y/edit?usp=sharing"",""แผน!EX70"")"),103)</f>
        <v>103</v>
      </c>
      <c r="J369" s="426">
        <f ca="1">IFERROR(__xludf.DUMMYFUNCTION("IMPORTRANGE(""https://docs.google.com/spreadsheets/d/1tdoBKaGub7dwA3U6UFTqxio9LNnvDCQjHKmttSEBsFQ/edit?usp=sharing"",""จัดที่ดิน!AD70"")"),20)</f>
        <v>20</v>
      </c>
      <c r="K369" s="427">
        <f ca="1">IF(I369&gt;0,J369*100/I369,0)</f>
        <v>19.417475728155338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IFERROR(__xludf.DUMMYFUNCTION("IMPORTRANGE(""https://docs.google.com/spreadsheets/d/1tdoBKaGub7dwA3U6UFTqxio9LNnvDCQjHKmttSEBsFQ/edit?usp=sharing"",""จัดที่ดิน!AE70"")"),394.62)</f>
        <v>394.62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IFERROR(__xludf.DUMMYFUNCTION("IMPORTRANGE(""https://docs.google.com/spreadsheets/d/1eHaY18a8A9IcSdp1K8H6x8fbOy06t2VsZHhMHf-1x7Y/edit?usp=sharing"",""แผน!EY70"")"),73)</f>
        <v>73</v>
      </c>
      <c r="J371" s="426">
        <f ca="1">IFERROR(__xludf.DUMMYFUNCTION("IMPORTRANGE(""https://docs.google.com/spreadsheets/d/1tdoBKaGub7dwA3U6UFTqxio9LNnvDCQjHKmttSEBsFQ/edit?usp=sharing"",""จัดที่ดิน!AF70"")"),20)</f>
        <v>20</v>
      </c>
      <c r="K371" s="427">
        <f ca="1">IF(I371&gt;0,J371*100/I371,0)</f>
        <v>27.397260273972602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IFERROR(__xludf.DUMMYFUNCTION("IMPORTRANGE(""https://docs.google.com/spreadsheets/d/1tdoBKaGub7dwA3U6UFTqxio9LNnvDCQjHKmttSEBsFQ/edit?usp=sharing"",""จัดที่ดิน!AG70"")"),394.62)</f>
        <v>394.62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IFERROR(__xludf.DUMMYFUNCTION("IMPORTRANGE(""https://docs.google.com/spreadsheets/d/1-uDff_7J0KD5mKrp0Vvzr7lt3OU09vwQwhkpOPPYv2Y/edit?usp=sharing"",""งบพรบ!FM70"")"),0)</f>
        <v>0</v>
      </c>
      <c r="M382" s="522">
        <f ca="1">IFERROR(__xludf.DUMMYFUNCTION("IMPORTRANGE(""https://docs.google.com/spreadsheets/d/1-uDff_7J0KD5mKrp0Vvzr7lt3OU09vwQwhkpOPPYv2Y/edit?usp=sharing"",""งบพรบ!FR70"")"),0)</f>
        <v>0</v>
      </c>
      <c r="N382" s="522">
        <f ca="1">IFERROR(__xludf.DUMMYFUNCTION("IMPORTRANGE(""https://docs.google.com/spreadsheets/d/1-uDff_7J0KD5mKrp0Vvzr7lt3OU09vwQwhkpOPPYv2Y/edit?usp=sharing"",""งบพรบ!FT70"")"),0)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IFERROR(__xludf.DUMMYFUNCTION("IMPORTRANGE(""https://docs.google.com/spreadsheets/d/1-uDff_7J0KD5mKrp0Vvzr7lt3OU09vwQwhkpOPPYv2Y/edit?usp=sharing"",""งบพรบ!FP70"")"),0)</f>
        <v>0</v>
      </c>
      <c r="M385" s="522">
        <f ca="1">IFERROR(__xludf.DUMMYFUNCTION("IMPORTRANGE(""https://docs.google.com/spreadsheets/d/1-uDff_7J0KD5mKrp0Vvzr7lt3OU09vwQwhkpOPPYv2Y/edit?usp=sharing"",""งบพรบ!FS70"")"),0)</f>
        <v>0</v>
      </c>
      <c r="N385" s="522">
        <f ca="1">IFERROR(__xludf.DUMMYFUNCTION("IMPORTRANGE(""https://docs.google.com/spreadsheets/d/1-uDff_7J0KD5mKrp0Vvzr7lt3OU09vwQwhkpOPPYv2Y/edit?usp=sharing"",""งบพรบ!FU70"")"),0)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9D22-5D15-4AF4-9DC6-CB7BB572282A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184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1234275</v>
      </c>
      <c r="M18" s="865">
        <f ca="1">M19+M20</f>
        <v>980475</v>
      </c>
      <c r="N18" s="865">
        <f ca="1">N19+N20</f>
        <v>554282.11</v>
      </c>
      <c r="O18" s="865">
        <f ca="1">IF(L18&gt;0,N18*100/L18,0)</f>
        <v>44.907505215612403</v>
      </c>
      <c r="P18" s="865">
        <f ca="1">IF(M18&gt;0,N18*100/M18,0)</f>
        <v>56.531998266146509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1234275</v>
      </c>
      <c r="M20" s="972">
        <f ca="1">M23+M26</f>
        <v>980475</v>
      </c>
      <c r="N20" s="972">
        <f ca="1">N23+N26</f>
        <v>554282.11</v>
      </c>
      <c r="O20" s="972">
        <f ca="1">IF(L20&gt;0,N20*100/L20,0)</f>
        <v>44.907505215612403</v>
      </c>
      <c r="P20" s="972">
        <f ca="1">IF(M20&gt;0,N20*100/M20,0)</f>
        <v>56.531998266146509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1234275</v>
      </c>
      <c r="M21" s="427">
        <f ca="1">M22+M23</f>
        <v>980475</v>
      </c>
      <c r="N21" s="427">
        <f ca="1">N22+N23</f>
        <v>554282.11</v>
      </c>
      <c r="O21" s="427">
        <f ca="1">IF(L21&gt;0,N21*100/L21,0)</f>
        <v>44.907505215612403</v>
      </c>
      <c r="P21" s="427">
        <f ca="1">IF(M21&gt;0,N21*100/M21,0)</f>
        <v>56.531998266146509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1234275</v>
      </c>
      <c r="M23" s="427">
        <f ca="1">M49+M64+M77+M99+M130+M144+M162+M191+M178+M271+M287+M308+M325+M338+M361+M382</f>
        <v>980475</v>
      </c>
      <c r="N23" s="427">
        <f ca="1">N49+N64+N77+N99+N130+N144+N162+N191+N178+N271+N287+N308+N325+N338+N361+N382</f>
        <v>554282.11</v>
      </c>
      <c r="O23" s="427">
        <f ca="1">IF(L23&gt;0,N23*100/L23,0)</f>
        <v>44.907505215612403</v>
      </c>
      <c r="P23" s="427">
        <f ca="1">IF(M23&gt;0,N23*100/M23,0)</f>
        <v>56.531998266146509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1234275</v>
      </c>
      <c r="M40" s="964">
        <f ca="1">M44+M59+M72+M94+M125+M139+M157+M173+M186+M266+M282+M303+M320+M333+M356</f>
        <v>980475</v>
      </c>
      <c r="N40" s="964">
        <f ca="1">N44+N59+N72+N94+N125+N139+N157+N173+N186+N266+N282+N303+N320+N333+N356</f>
        <v>554282.11</v>
      </c>
      <c r="O40" s="964">
        <f ca="1">IF(L40&gt;0,N40*100/L40,0)</f>
        <v>44.907505215612403</v>
      </c>
      <c r="P40" s="964">
        <f ca="1">IF(M40&gt;0,N40*100/M40,0)</f>
        <v>56.531998266146509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204500</v>
      </c>
      <c r="M44" s="949">
        <f ca="1">M45+M46</f>
        <v>209000</v>
      </c>
      <c r="N44" s="949">
        <f ca="1">N45+N46</f>
        <v>59960</v>
      </c>
      <c r="O44" s="949">
        <f ca="1">IF(L44&gt;0,N44*100/L44,0)</f>
        <v>29.320293398533007</v>
      </c>
      <c r="P44" s="949">
        <f ca="1">IF(M44&gt;0,N44*100/M44,0)</f>
        <v>28.688995215311003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204500</v>
      </c>
      <c r="M46" s="941">
        <f ca="1">M49+M52</f>
        <v>209000</v>
      </c>
      <c r="N46" s="941">
        <f ca="1">N49+N52</f>
        <v>59960</v>
      </c>
      <c r="O46" s="941">
        <f ca="1">IF(L46&gt;0,N46*100/L46,0)</f>
        <v>29.320293398533007</v>
      </c>
      <c r="P46" s="941">
        <f ca="1">IF(M46&gt;0,N46*100/M46,0)</f>
        <v>28.688995215311003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204500</v>
      </c>
      <c r="M47" s="427">
        <f ca="1">M48+M49</f>
        <v>209000</v>
      </c>
      <c r="N47" s="427">
        <f ca="1">N48+N49</f>
        <v>59960</v>
      </c>
      <c r="O47" s="427">
        <f ca="1">IF(L47&gt;0,N47*100/L47,0)</f>
        <v>29.320293398533007</v>
      </c>
      <c r="P47" s="427">
        <f ca="1">IF(M47&gt;0,N47*100/M47,0)</f>
        <v>28.688995215311003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IFERROR(__xludf.DUMMYFUNCTION("IMPORTRANGE(""https://docs.google.com/spreadsheets/d/1-uDff_7J0KD5mKrp0Vvzr7lt3OU09vwQwhkpOPPYv2Y/edit?usp=sharing"",""งบพรบ!P71"")"),204500)</f>
        <v>204500</v>
      </c>
      <c r="M49" s="427">
        <f ca="1">IFERROR(__xludf.DUMMYFUNCTION("IMPORTRANGE(""https://docs.google.com/spreadsheets/d/1-uDff_7J0KD5mKrp0Vvzr7lt3OU09vwQwhkpOPPYv2Y/edit?usp=sharing"",""งบพรบ!V71"")"),209000)</f>
        <v>209000</v>
      </c>
      <c r="N49" s="427">
        <f ca="1">IFERROR(__xludf.DUMMYFUNCTION("IMPORTRANGE(""https://docs.google.com/spreadsheets/d/1-uDff_7J0KD5mKrp0Vvzr7lt3OU09vwQwhkpOPPYv2Y/edit?usp=sharing"",""งบพรบ!Y71"")"),59960)</f>
        <v>59960</v>
      </c>
      <c r="O49" s="427">
        <f ca="1">IF(L49&gt;0,N49*100/L49,0)</f>
        <v>29.320293398533007</v>
      </c>
      <c r="P49" s="427">
        <f ca="1">IF(M49&gt;0,N49*100/M49,0)</f>
        <v>28.688995215311003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IFERROR(__xludf.DUMMYFUNCTION("IMPORTRANGE(""https://docs.google.com/spreadsheets/d/1-uDff_7J0KD5mKrp0Vvzr7lt3OU09vwQwhkpOPPYv2Y/edit?usp=sharing"",""งบพรบ!S71"")"),0)</f>
        <v>0</v>
      </c>
      <c r="M52" s="427">
        <f ca="1">IFERROR(__xludf.DUMMYFUNCTION("IMPORTRANGE(""https://docs.google.com/spreadsheets/d/1-uDff_7J0KD5mKrp0Vvzr7lt3OU09vwQwhkpOPPYv2Y/edit?usp=sharing"",""งบพรบ!W71"")"),0)</f>
        <v>0</v>
      </c>
      <c r="N52" s="427">
        <f ca="1">IFERROR(__xludf.DUMMYFUNCTION("IMPORTRANGE(""https://docs.google.com/spreadsheets/d/1-uDff_7J0KD5mKrp0Vvzr7lt3OU09vwQwhkpOPPYv2Y/edit?usp=sharing"",""งบพรบ!Z71"")"),0)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599400</v>
      </c>
      <c r="M59" s="921">
        <f ca="1">M60+M61</f>
        <v>451450</v>
      </c>
      <c r="N59" s="921">
        <f ca="1">N60+N61</f>
        <v>392865.43</v>
      </c>
      <c r="O59" s="921">
        <f ca="1">IF(L59&gt;0,N59*100/L59,0)</f>
        <v>65.543114781448111</v>
      </c>
      <c r="P59" s="921">
        <f ca="1">IF(M59&gt;0,N59*100/M59,0)</f>
        <v>87.023021375567609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599400</v>
      </c>
      <c r="M61" s="913">
        <f ca="1">M64+M67</f>
        <v>451450</v>
      </c>
      <c r="N61" s="913">
        <f ca="1">N64+N67</f>
        <v>392865.43</v>
      </c>
      <c r="O61" s="913">
        <f ca="1">IF(L61&gt;0,N61*100/L61,0)</f>
        <v>65.543114781448111</v>
      </c>
      <c r="P61" s="913">
        <f ca="1">IF(M61&gt;0,N61*100/M61,0)</f>
        <v>87.023021375567609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599400</v>
      </c>
      <c r="M62" s="427">
        <f ca="1">M63+M64</f>
        <v>451450</v>
      </c>
      <c r="N62" s="427">
        <f ca="1">N63+N64</f>
        <v>392865.43</v>
      </c>
      <c r="O62" s="427">
        <f ca="1">IF(L62&gt;0,N62*100/L62,0)</f>
        <v>65.543114781448111</v>
      </c>
      <c r="P62" s="427">
        <f ca="1">IF(M62&gt;0,N62*100/M62,0)</f>
        <v>87.023021375567609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IFERROR(__xludf.DUMMYFUNCTION("IMPORTRANGE(""https://docs.google.com/spreadsheets/d/1-uDff_7J0KD5mKrp0Vvzr7lt3OU09vwQwhkpOPPYv2Y/edit?usp=sharing"",""งบพรบ!AC71"")"),599400)</f>
        <v>599400</v>
      </c>
      <c r="M64" s="427">
        <f ca="1">IFERROR(__xludf.DUMMYFUNCTION("IMPORTRANGE(""https://docs.google.com/spreadsheets/d/1-uDff_7J0KD5mKrp0Vvzr7lt3OU09vwQwhkpOPPYv2Y/edit?usp=sharing"",""งบพรบ!AH71"")"),451450)</f>
        <v>451450</v>
      </c>
      <c r="N64" s="427">
        <f ca="1">IFERROR(__xludf.DUMMYFUNCTION("IMPORTRANGE(""https://docs.google.com/spreadsheets/d/1-uDff_7J0KD5mKrp0Vvzr7lt3OU09vwQwhkpOPPYv2Y/edit?usp=sharing"",""งบพรบ!AJ71"")"),392865.43)</f>
        <v>392865.43</v>
      </c>
      <c r="O64" s="427">
        <f ca="1">IF(L64&gt;0,N64*100/L64,0)</f>
        <v>65.543114781448111</v>
      </c>
      <c r="P64" s="427">
        <f ca="1">IF(M64&gt;0,N64*100/M64,0)</f>
        <v>87.023021375567609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IFERROR(__xludf.DUMMYFUNCTION("IMPORTRANGE(""https://docs.google.com/spreadsheets/d/1-uDff_7J0KD5mKrp0Vvzr7lt3OU09vwQwhkpOPPYv2Y/edit?usp=sharing"",""งบพรบ!AF71"")"),0)</f>
        <v>0</v>
      </c>
      <c r="M67" s="644">
        <f ca="1">IFERROR(__xludf.DUMMYFUNCTION("IMPORTRANGE(""https://docs.google.com/spreadsheets/d/1-uDff_7J0KD5mKrp0Vvzr7lt3OU09vwQwhkpOPPYv2Y/edit?usp=sharing"",""งบพรบ!AI71"")"),0)</f>
        <v>0</v>
      </c>
      <c r="N67" s="644">
        <f ca="1">IFERROR(__xludf.DUMMYFUNCTION("IMPORTRANGE(""https://docs.google.com/spreadsheets/d/1-uDff_7J0KD5mKrp0Vvzr7lt3OU09vwQwhkpOPPYv2Y/edit?usp=sharing"",""งบพรบ!AK71"")"),0)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IFERROR(__xludf.DUMMYFUNCTION("IMPORTRANGE(""https://docs.google.com/spreadsheets/d/1-uDff_7J0KD5mKrp0Vvzr7lt3OU09vwQwhkpOPPYv2Y/edit?usp=sharing"",""งบพรบ!AM71"")"),0)</f>
        <v>0</v>
      </c>
      <c r="M77" s="427">
        <f ca="1">IFERROR(__xludf.DUMMYFUNCTION("IMPORTRANGE(""https://docs.google.com/spreadsheets/d/1-uDff_7J0KD5mKrp0Vvzr7lt3OU09vwQwhkpOPPYv2Y/edit?usp=sharing"",""งบพรบ!AR71"")"),0)</f>
        <v>0</v>
      </c>
      <c r="N77" s="427">
        <f ca="1">IFERROR(__xludf.DUMMYFUNCTION("IMPORTRANGE(""https://docs.google.com/spreadsheets/d/1-uDff_7J0KD5mKrp0Vvzr7lt3OU09vwQwhkpOPPYv2Y/edit?usp=sharing"",""งบพรบ!AT71"")"),0)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IFERROR(__xludf.DUMMYFUNCTION("IMPORTRANGE(""https://docs.google.com/spreadsheets/d/1-uDff_7J0KD5mKrp0Vvzr7lt3OU09vwQwhkpOPPYv2Y/edit?usp=sharing"",""งบพรบ!AP71"")"),0)</f>
        <v>0</v>
      </c>
      <c r="M80" s="427">
        <f ca="1">IFERROR(__xludf.DUMMYFUNCTION("IMPORTRANGE(""https://docs.google.com/spreadsheets/d/1-uDff_7J0KD5mKrp0Vvzr7lt3OU09vwQwhkpOPPYv2Y/edit?usp=sharing"",""งบพรบ!AS71"")"),0)</f>
        <v>0</v>
      </c>
      <c r="N80" s="427">
        <f ca="1">IFERROR(__xludf.DUMMYFUNCTION("IMPORTRANGE(""https://docs.google.com/spreadsheets/d/1-uDff_7J0KD5mKrp0Vvzr7lt3OU09vwQwhkpOPPYv2Y/edit?usp=sharing"",""งบพรบ!AU71"")"),0)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IFERROR(__xludf.DUMMYFUNCTION("IMPORTRANGE(""https://docs.google.com/spreadsheets/d/1eHaY18a8A9IcSdp1K8H6x8fbOy06t2VsZHhMHf-1x7Y/edit?usp=sharing"",""แผน!H71"")"),0)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IFERROR(__xludf.DUMMYFUNCTION("IMPORTRANGE(""https://docs.google.com/spreadsheets/d/1eHaY18a8A9IcSdp1K8H6x8fbOy06t2VsZHhMHf-1x7Y/edit?usp=sharing"",""แผน!I71"")"),0)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IFERROR(__xludf.DUMMYFUNCTION("IMPORTRANGE(""https://docs.google.com/spreadsheets/d/1eHaY18a8A9IcSdp1K8H6x8fbOy06t2VsZHhMHf-1x7Y/edit?usp=sharing"",""แผน!F71"")"),0)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IFERROR(__xludf.DUMMYFUNCTION("IMPORTRANGE(""https://docs.google.com/spreadsheets/d/1eHaY18a8A9IcSdp1K8H6x8fbOy06t2VsZHhMHf-1x7Y/edit?usp=sharing"",""แผน!G71"")"),0)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IFERROR(__xludf.DUMMYFUNCTION("IMPORTRANGE(""https://docs.google.com/spreadsheets/d/1eHaY18a8A9IcSdp1K8H6x8fbOy06t2VsZHhMHf-1x7Y/edit?usp=sharing"",""แผน!D71"")"),0)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IFERROR(__xludf.DUMMYFUNCTION("IMPORTRANGE(""https://docs.google.com/spreadsheets/d/1eHaY18a8A9IcSdp1K8H6x8fbOy06t2VsZHhMHf-1x7Y/edit?usp=sharing"",""แผน!E71"")"),0)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IFERROR(__xludf.DUMMYFUNCTION("IMPORTRANGE(""https://docs.google.com/spreadsheets/d/1eHaY18a8A9IcSdp1K8H6x8fbOy06t2VsZHhMHf-1x7Y/edit?usp=sharing"",""แผน!J71"")"),0)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IFERROR(__xludf.DUMMYFUNCTION("IMPORTRANGE(""https://docs.google.com/spreadsheets/d/1-uDff_7J0KD5mKrp0Vvzr7lt3OU09vwQwhkpOPPYv2Y/edit?usp=sharing"",""งบพรบ!AW71"")"),0)</f>
        <v>0</v>
      </c>
      <c r="M99" s="427">
        <f ca="1">IFERROR(__xludf.DUMMYFUNCTION("IMPORTRANGE(""https://docs.google.com/spreadsheets/d/1-uDff_7J0KD5mKrp0Vvzr7lt3OU09vwQwhkpOPPYv2Y/edit?usp=sharing"",""งบพรบ!BB71"")"),0)</f>
        <v>0</v>
      </c>
      <c r="N99" s="427">
        <f ca="1">IFERROR(__xludf.DUMMYFUNCTION("IMPORTRANGE(""https://docs.google.com/spreadsheets/d/1-uDff_7J0KD5mKrp0Vvzr7lt3OU09vwQwhkpOPPYv2Y/edit?usp=sharing"",""งบพรบ!BD71"")"),0)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IFERROR(__xludf.DUMMYFUNCTION("IMPORTRANGE(""https://docs.google.com/spreadsheets/d/1-uDff_7J0KD5mKrp0Vvzr7lt3OU09vwQwhkpOPPYv2Y/edit?usp=sharing"",""งบพรบ!AZ71"")"),0)</f>
        <v>0</v>
      </c>
      <c r="M102" s="427">
        <f ca="1">IFERROR(__xludf.DUMMYFUNCTION("IMPORTRANGE(""https://docs.google.com/spreadsheets/d/1-uDff_7J0KD5mKrp0Vvzr7lt3OU09vwQwhkpOPPYv2Y/edit?usp=sharing"",""งบพรบ!BC71"")"),0)</f>
        <v>0</v>
      </c>
      <c r="N102" s="427">
        <f ca="1">IFERROR(__xludf.DUMMYFUNCTION("IMPORTRANGE(""https://docs.google.com/spreadsheets/d/1-uDff_7J0KD5mKrp0Vvzr7lt3OU09vwQwhkpOPPYv2Y/edit?usp=sharing"",""งบพรบ!BE71"")"),0)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IFERROR(__xludf.DUMMYFUNCTION("IMPORTRANGE(""https://docs.google.com/spreadsheets/d/1eHaY18a8A9IcSdp1K8H6x8fbOy06t2VsZHhMHf-1x7Y/edit?usp=sharing"",""แผน!N71"")"),0)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IFERROR(__xludf.DUMMYFUNCTION("IMPORTRANGE(""https://docs.google.com/spreadsheets/d/1eHaY18a8A9IcSdp1K8H6x8fbOy06t2VsZHhMHf-1x7Y/edit?usp=sharing"",""แผน!O71"")"),0)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IFERROR(__xludf.DUMMYFUNCTION("IMPORTRANGE(""https://docs.google.com/spreadsheets/d/1eHaY18a8A9IcSdp1K8H6x8fbOy06t2VsZHhMHf-1x7Y/edit?usp=sharing"",""แผน!R71"")"),0)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IFERROR(__xludf.DUMMYFUNCTION("IMPORTRANGE(""https://docs.google.com/spreadsheets/d/1-uDff_7J0KD5mKrp0Vvzr7lt3OU09vwQwhkpOPPYv2Y/edit?usp=sharing"",""งบพรบ!BG71"")"),0)</f>
        <v>0</v>
      </c>
      <c r="M130" s="886">
        <f ca="1">IFERROR(__xludf.DUMMYFUNCTION("IMPORTRANGE(""https://docs.google.com/spreadsheets/d/1-uDff_7J0KD5mKrp0Vvzr7lt3OU09vwQwhkpOPPYv2Y/edit?usp=sharing"",""งบพรบ!BL71"")"),0)</f>
        <v>0</v>
      </c>
      <c r="N130" s="886">
        <f ca="1">IFERROR(__xludf.DUMMYFUNCTION("IMPORTRANGE(""https://docs.google.com/spreadsheets/d/1-uDff_7J0KD5mKrp0Vvzr7lt3OU09vwQwhkpOPPYv2Y/edit?usp=sharing"",""งบพรบ!BN71"")"),0)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IFERROR(__xludf.DUMMYFUNCTION("IMPORTRANGE(""https://docs.google.com/spreadsheets/d/1-uDff_7J0KD5mKrp0Vvzr7lt3OU09vwQwhkpOPPYv2Y/edit?usp=sharing"",""งบพรบ!BJ71"")"),0)</f>
        <v>0</v>
      </c>
      <c r="M133" s="886">
        <f ca="1">IFERROR(__xludf.DUMMYFUNCTION("IMPORTRANGE(""https://docs.google.com/spreadsheets/d/1-uDff_7J0KD5mKrp0Vvzr7lt3OU09vwQwhkpOPPYv2Y/edit?usp=sharing"",""งบพรบ!BM71"")"),0)</f>
        <v>0</v>
      </c>
      <c r="N133" s="886">
        <f ca="1">IFERROR(__xludf.DUMMYFUNCTION("IMPORTRANGE(""https://docs.google.com/spreadsheets/d/1-uDff_7J0KD5mKrp0Vvzr7lt3OU09vwQwhkpOPPYv2Y/edit?usp=sharing"",""งบพรบ!BO71"")"),0)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IFERROR(__xludf.DUMMYFUNCTION("IMPORTRANGE(""https://docs.google.com/spreadsheets/d/1-uDff_7J0KD5mKrp0Vvzr7lt3OU09vwQwhkpOPPYv2Y/edit?usp=sharing"",""งบพรบ!BQ71"")"),0)</f>
        <v>0</v>
      </c>
      <c r="M144" s="427">
        <f ca="1">IFERROR(__xludf.DUMMYFUNCTION("IMPORTRANGE(""https://docs.google.com/spreadsheets/d/1-uDff_7J0KD5mKrp0Vvzr7lt3OU09vwQwhkpOPPYv2Y/edit?usp=sharing"",""งบพรบ!BV71"")"),0)</f>
        <v>0</v>
      </c>
      <c r="N144" s="427">
        <f ca="1">IFERROR(__xludf.DUMMYFUNCTION("IMPORTRANGE(""https://docs.google.com/spreadsheets/d/1-uDff_7J0KD5mKrp0Vvzr7lt3OU09vwQwhkpOPPYv2Y/edit?usp=sharing"",""งบพรบ!BX71"")"),0)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IFERROR(__xludf.DUMMYFUNCTION("IMPORTRANGE(""https://docs.google.com/spreadsheets/d/1-uDff_7J0KD5mKrp0Vvzr7lt3OU09vwQwhkpOPPYv2Y/edit?usp=sharing"",""งบพรบ!BT71"")"),0)</f>
        <v>0</v>
      </c>
      <c r="M147" s="427">
        <f ca="1">IFERROR(__xludf.DUMMYFUNCTION("IMPORTRANGE(""https://docs.google.com/spreadsheets/d/1-uDff_7J0KD5mKrp0Vvzr7lt3OU09vwQwhkpOPPYv2Y/edit?usp=sharing"",""งบพรบ!BW71"")"),0)</f>
        <v>0</v>
      </c>
      <c r="N147" s="427">
        <f ca="1">IFERROR(__xludf.DUMMYFUNCTION("IMPORTRANGE(""https://docs.google.com/spreadsheets/d/1-uDff_7J0KD5mKrp0Vvzr7lt3OU09vwQwhkpOPPYv2Y/edit?usp=sharing"",""งบพรบ!BY71"")"),0)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IFERROR(__xludf.DUMMYFUNCTION("IMPORTRANGE(""https://docs.google.com/spreadsheets/d/1eHaY18a8A9IcSdp1K8H6x8fbOy06t2VsZHhMHf-1x7Y/edit?usp=sharing"",""แผน!U71"")"),0)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IFERROR(__xludf.DUMMYFUNCTION("IMPORTRANGE(""https://docs.google.com/spreadsheets/d/1eHaY18a8A9IcSdp1K8H6x8fbOy06t2VsZHhMHf-1x7Y/edit?usp=sharing"",""แผน!V71"")"),0)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IFERROR(__xludf.DUMMYFUNCTION("IMPORTRANGE(""https://docs.google.com/spreadsheets/d/1eHaY18a8A9IcSdp1K8H6x8fbOy06t2VsZHhMHf-1x7Y/edit?usp=sharing"",""แผน!W71"")"),0)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IFERROR(__xludf.DUMMYFUNCTION("IMPORTRANGE(""https://docs.google.com/spreadsheets/d/1eHaY18a8A9IcSdp1K8H6x8fbOy06t2VsZHhMHf-1x7Y/edit?usp=sharing"",""แผน!X71"")"),0)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IFERROR(__xludf.DUMMYFUNCTION("IMPORTRANGE(""https://docs.google.com/spreadsheets/d/1eHaY18a8A9IcSdp1K8H6x8fbOy06t2VsZHhMHf-1x7Y/edit?usp=sharing"",""แผน!Y71"")"),0)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IFERROR(__xludf.DUMMYFUNCTION("IMPORTRANGE(""https://docs.google.com/spreadsheets/d/1-uDff_7J0KD5mKrp0Vvzr7lt3OU09vwQwhkpOPPYv2Y/edit?usp=sharing"",""งบพรบ!CA71"")"),0)</f>
        <v>0</v>
      </c>
      <c r="M162" s="427">
        <f ca="1">IFERROR(__xludf.DUMMYFUNCTION("IMPORTRANGE(""https://docs.google.com/spreadsheets/d/1-uDff_7J0KD5mKrp0Vvzr7lt3OU09vwQwhkpOPPYv2Y/edit?usp=sharing"",""งบพรบ!CF71"")"),0)</f>
        <v>0</v>
      </c>
      <c r="N162" s="427">
        <f ca="1">IFERROR(__xludf.DUMMYFUNCTION("IMPORTRANGE(""https://docs.google.com/spreadsheets/d/1-uDff_7J0KD5mKrp0Vvzr7lt3OU09vwQwhkpOPPYv2Y/edit?usp=sharing"",""งบพรบ!CH71"")"),0)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IFERROR(__xludf.DUMMYFUNCTION("IMPORTRANGE(""https://docs.google.com/spreadsheets/d/1-uDff_7J0KD5mKrp0Vvzr7lt3OU09vwQwhkpOPPYv2Y/edit?usp=sharing"",""งบพรบ!CD71"")"),0)</f>
        <v>0</v>
      </c>
      <c r="M165" s="427">
        <f ca="1">IFERROR(__xludf.DUMMYFUNCTION("IMPORTRANGE(""https://docs.google.com/spreadsheets/d/1-uDff_7J0KD5mKrp0Vvzr7lt3OU09vwQwhkpOPPYv2Y/edit?usp=sharing"",""งบพรบ!CG71"")"),0)</f>
        <v>0</v>
      </c>
      <c r="N165" s="427">
        <f ca="1">IFERROR(__xludf.DUMMYFUNCTION("IMPORTRANGE(""https://docs.google.com/spreadsheets/d/1-uDff_7J0KD5mKrp0Vvzr7lt3OU09vwQwhkpOPPYv2Y/edit?usp=sharing"",""งบพรบ!CI71"")"),0)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IFERROR(__xludf.DUMMYFUNCTION("IMPORTRANGE(""https://docs.google.com/spreadsheets/d/1eHaY18a8A9IcSdp1K8H6x8fbOy06t2VsZHhMHf-1x7Y/edit?usp=sharing"",""แผน!Z71"")"),0)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IFERROR(__xludf.DUMMYFUNCTION("IMPORTRANGE(""https://docs.google.com/spreadsheets/d/1eHaY18a8A9IcSdp1K8H6x8fbOy06t2VsZHhMHf-1x7Y/edit?usp=sharing"",""แผน!Z71"")"),0)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IFERROR(__xludf.DUMMYFUNCTION("IMPORTRANGE(""https://docs.google.com/spreadsheets/d/1eHaY18a8A9IcSdp1K8H6x8fbOy06t2VsZHhMHf-1x7Y/edit?usp=sharing"",""แผน!Z71"")"),0)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7</v>
      </c>
      <c r="K172" s="850">
        <f ca="1">IF(I172&gt;0,J172*100/I172,0)</f>
        <v>100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18640</v>
      </c>
      <c r="O173" s="737">
        <f ca="1">IF(L173&gt;0,N173*100/L173,0)</f>
        <v>95.150587034201124</v>
      </c>
      <c r="P173" s="737">
        <f ca="1">IF(M173&gt;0,N173*100/M173,0)</f>
        <v>95.150587034201124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18640</v>
      </c>
      <c r="O175" s="427">
        <f ca="1">IF(L175&gt;0,N175*100/L175,0)</f>
        <v>95.150587034201124</v>
      </c>
      <c r="P175" s="427">
        <f ca="1">IF(M175&gt;0,N175*100/M175,0)</f>
        <v>95.150587034201124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18640</v>
      </c>
      <c r="O176" s="427">
        <f ca="1">IF(L176&gt;0,N176*100/L176,0)</f>
        <v>95.150587034201124</v>
      </c>
      <c r="P176" s="427">
        <f ca="1">IF(M176&gt;0,N176*100/M176,0)</f>
        <v>95.150587034201124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IFERROR(__xludf.DUMMYFUNCTION("IMPORTRANGE(""https://docs.google.com/spreadsheets/d/1-uDff_7J0KD5mKrp0Vvzr7lt3OU09vwQwhkpOPPYv2Y/edit?usp=sharing"",""งบพรบ!CK71"")"),19590)</f>
        <v>19590</v>
      </c>
      <c r="M178" s="427">
        <f ca="1">IFERROR(__xludf.DUMMYFUNCTION("IMPORTRANGE(""https://docs.google.com/spreadsheets/d/1-uDff_7J0KD5mKrp0Vvzr7lt3OU09vwQwhkpOPPYv2Y/edit?usp=sharing"",""งบพรบ!CP71"")"),19590)</f>
        <v>19590</v>
      </c>
      <c r="N178" s="427">
        <f ca="1">IFERROR(__xludf.DUMMYFUNCTION("IMPORTRANGE(""https://docs.google.com/spreadsheets/d/1-uDff_7J0KD5mKrp0Vvzr7lt3OU09vwQwhkpOPPYv2Y/edit?usp=sharing"",""งบพรบ!CR71"")"),18640)</f>
        <v>18640</v>
      </c>
      <c r="O178" s="427">
        <f ca="1">IF(L178&gt;0,N178*100/L178,0)</f>
        <v>95.150587034201124</v>
      </c>
      <c r="P178" s="427">
        <f ca="1">IF(M178&gt;0,N178*100/M178,0)</f>
        <v>95.150587034201124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IFERROR(__xludf.DUMMYFUNCTION("IMPORTRANGE(""https://docs.google.com/spreadsheets/d/1-uDff_7J0KD5mKrp0Vvzr7lt3OU09vwQwhkpOPPYv2Y/edit?usp=sharing"",""งบพรบ!CN71"")"),0)</f>
        <v>0</v>
      </c>
      <c r="M181" s="427">
        <f ca="1">IFERROR(__xludf.DUMMYFUNCTION("IMPORTRANGE(""https://docs.google.com/spreadsheets/d/1-uDff_7J0KD5mKrp0Vvzr7lt3OU09vwQwhkpOPPYv2Y/edit?usp=sharing"",""งบพรบ!CQ71"")"),0)</f>
        <v>0</v>
      </c>
      <c r="N181" s="427">
        <f ca="1">IFERROR(__xludf.DUMMYFUNCTION("IMPORTRANGE(""https://docs.google.com/spreadsheets/d/1-uDff_7J0KD5mKrp0Vvzr7lt3OU09vwQwhkpOPPYv2Y/edit?usp=sharing"",""งบพรบ!CS71"")"),0)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IFERROR(__xludf.DUMMYFUNCTION("IMPORTRANGE(""https://docs.google.com/spreadsheets/d/1eHaY18a8A9IcSdp1K8H6x8fbOy06t2VsZHhMHf-1x7Y/edit?usp=sharing"",""แผน!AA71"")"),7)</f>
        <v>7</v>
      </c>
      <c r="J183" s="758">
        <v>7</v>
      </c>
      <c r="K183" s="427">
        <f ca="1">IF(I183&gt;0,J183*100/I183,0)</f>
        <v>100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84200</v>
      </c>
      <c r="M186" s="737">
        <f ca="1">M187+M188</f>
        <v>57500</v>
      </c>
      <c r="N186" s="737">
        <f ca="1">N187+N188</f>
        <v>12516.68</v>
      </c>
      <c r="O186" s="737">
        <f ca="1">IF(L186&gt;0,N186*100/L186,0)</f>
        <v>14.86541567695962</v>
      </c>
      <c r="P186" s="737">
        <f ca="1">IF(M186&gt;0,N186*100/M186,0)</f>
        <v>21.768139130434783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84200</v>
      </c>
      <c r="M188" s="427">
        <f ca="1">M191+M194</f>
        <v>57500</v>
      </c>
      <c r="N188" s="427">
        <f ca="1">N191+N194</f>
        <v>12516.68</v>
      </c>
      <c r="O188" s="427">
        <f ca="1">IF(L188&gt;0,N188*100/L188,0)</f>
        <v>14.86541567695962</v>
      </c>
      <c r="P188" s="427">
        <f ca="1">IF(M188&gt;0,N188*100/M188,0)</f>
        <v>21.768139130434783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84200</v>
      </c>
      <c r="M189" s="427">
        <f ca="1">M190+M191</f>
        <v>57500</v>
      </c>
      <c r="N189" s="427">
        <f ca="1">N190+N191</f>
        <v>12516.68</v>
      </c>
      <c r="O189" s="427">
        <f ca="1">IF(L189&gt;0,N189*100/L189,0)</f>
        <v>14.86541567695962</v>
      </c>
      <c r="P189" s="427">
        <f ca="1">IF(M189&gt;0,N189*100/M189,0)</f>
        <v>21.768139130434783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IFERROR(__xludf.DUMMYFUNCTION("IMPORTRANGE(""https://docs.google.com/spreadsheets/d/1-uDff_7J0KD5mKrp0Vvzr7lt3OU09vwQwhkpOPPYv2Y/edit?usp=sharing"",""งบพรบ!CU71"")"),84200)</f>
        <v>84200</v>
      </c>
      <c r="M191" s="427">
        <f ca="1">IFERROR(__xludf.DUMMYFUNCTION("IMPORTRANGE(""https://docs.google.com/spreadsheets/d/1-uDff_7J0KD5mKrp0Vvzr7lt3OU09vwQwhkpOPPYv2Y/edit?usp=sharing"",""งบพรบ!CZ71"")"),57500)</f>
        <v>57500</v>
      </c>
      <c r="N191" s="427">
        <f ca="1">IFERROR(__xludf.DUMMYFUNCTION("IMPORTRANGE(""https://docs.google.com/spreadsheets/d/1-uDff_7J0KD5mKrp0Vvzr7lt3OU09vwQwhkpOPPYv2Y/edit?usp=sharing"",""งบพรบ!DB71"")"),12516.68)</f>
        <v>12516.68</v>
      </c>
      <c r="O191" s="427">
        <f ca="1">IF(L191&gt;0,N191*100/L191,0)</f>
        <v>14.86541567695962</v>
      </c>
      <c r="P191" s="427">
        <f ca="1">IF(M191&gt;0,N191*100/M191,0)</f>
        <v>21.768139130434783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IFERROR(__xludf.DUMMYFUNCTION("IMPORTRANGE(""https://docs.google.com/spreadsheets/d/1-uDff_7J0KD5mKrp0Vvzr7lt3OU09vwQwhkpOPPYv2Y/edit?usp=sharing"",""งบพรบ!CX71"")"),0)</f>
        <v>0</v>
      </c>
      <c r="M194" s="427">
        <f ca="1">IFERROR(__xludf.DUMMYFUNCTION("IMPORTRANGE(""https://docs.google.com/spreadsheets/d/1-uDff_7J0KD5mKrp0Vvzr7lt3OU09vwQwhkpOPPYv2Y/edit?usp=sharing"",""งบพรบ!DA71"")"),0)</f>
        <v>0</v>
      </c>
      <c r="N194" s="427">
        <f ca="1">IFERROR(__xludf.DUMMYFUNCTION("IMPORTRANGE(""https://docs.google.com/spreadsheets/d/1-uDff_7J0KD5mKrp0Vvzr7lt3OU09vwQwhkpOPPYv2Y/edit?usp=sharing"",""งบพรบ!DC71"")"),0)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IFERROR(__xludf.DUMMYFUNCTION("IMPORTRANGE(""https://docs.google.com/spreadsheets/d/1eHaY18a8A9IcSdp1K8H6x8fbOy06t2VsZHhMHf-1x7Y/edit?usp=sharing"",""แผน!AB71"")"),6000)</f>
        <v>6000</v>
      </c>
      <c r="M196" s="430"/>
      <c r="N196" s="849">
        <v>1500</v>
      </c>
      <c r="O196" s="737">
        <f ca="1">IF(L196&gt;0,N196*100/L196,0)</f>
        <v>25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IFERROR(__xludf.DUMMYFUNCTION("IMPORTRANGE(""https://docs.google.com/spreadsheets/d/1eHaY18a8A9IcSdp1K8H6x8fbOy06t2VsZHhMHf-1x7Y/edit?usp=sharing"",""แผน!AE71"")"),4)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hidden="1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0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hidden="1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hidden="1" x14ac:dyDescent="0.25">
      <c r="A204" s="706"/>
      <c r="B204" s="421"/>
      <c r="C204" s="420"/>
      <c r="D204" s="295" t="s">
        <v>80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IFERROR(__xludf.DUMMYFUNCTION("IMPORTRANGE(""https://docs.google.com/spreadsheets/d/1eHaY18a8A9IcSdp1K8H6x8fbOy06t2VsZHhMHf-1x7Y/edit?usp=sharing"",""แผน!AG71"")"),0)</f>
        <v>0</v>
      </c>
      <c r="M204" s="430"/>
      <c r="N204" s="840">
        <v>0</v>
      </c>
      <c r="O204" s="700"/>
      <c r="P204" s="430"/>
    </row>
    <row r="205" spans="1:16" ht="18.75" hidden="1" x14ac:dyDescent="0.25">
      <c r="A205" s="419"/>
      <c r="B205" s="421"/>
      <c r="C205" s="420"/>
      <c r="D205" s="295" t="s">
        <v>82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IFERROR(__xludf.DUMMYFUNCTION("IMPORTRANGE(""https://docs.google.com/spreadsheets/d/1eHaY18a8A9IcSdp1K8H6x8fbOy06t2VsZHhMHf-1x7Y/edit?usp=sharing"",""แผน!AI71"")"),0)</f>
        <v>0</v>
      </c>
      <c r="M205" s="430"/>
      <c r="N205" s="840">
        <v>0</v>
      </c>
      <c r="O205" s="700"/>
      <c r="P205" s="430"/>
    </row>
    <row r="206" spans="1:16" ht="18.75" hidden="1" x14ac:dyDescent="0.25">
      <c r="A206" s="419"/>
      <c r="B206" s="421"/>
      <c r="C206" s="420"/>
      <c r="D206" s="295" t="s">
        <v>89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IFERROR(__xludf.DUMMYFUNCTION("IMPORTRANGE(""https://docs.google.com/spreadsheets/d/1eHaY18a8A9IcSdp1K8H6x8fbOy06t2VsZHhMHf-1x7Y/edit?usp=sharing"",""แผน!AJ71"")"),0)</f>
        <v>0</v>
      </c>
      <c r="M206" s="430"/>
      <c r="N206" s="840">
        <v>0</v>
      </c>
      <c r="O206" s="700"/>
      <c r="P206" s="430"/>
    </row>
    <row r="207" spans="1:16" ht="12.75" hidden="1" x14ac:dyDescent="0.2">
      <c r="A207" s="788"/>
      <c r="B207" s="787"/>
      <c r="C207" s="786"/>
      <c r="D207" s="786"/>
      <c r="E207" s="786"/>
      <c r="F207" s="786"/>
      <c r="G207" s="785"/>
      <c r="H207" s="785"/>
      <c r="I207" s="783"/>
      <c r="J207" s="783"/>
      <c r="K207" s="782"/>
      <c r="L207" s="782"/>
      <c r="M207" s="782"/>
      <c r="N207" s="782"/>
      <c r="O207" s="782"/>
      <c r="P207" s="782"/>
    </row>
    <row r="208" spans="1:16" ht="19.5" hidden="1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hidden="1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IFERROR(__xludf.DUMMYFUNCTION("IMPORTRANGE(""https://docs.google.com/spreadsheets/d/1eHaY18a8A9IcSdp1K8H6x8fbOy06t2VsZHhMHf-1x7Y/edit?usp=sharing"",""แผน!AK71"")"),0)</f>
        <v>0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hidden="1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hidden="1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IFERROR(__xludf.DUMMYFUNCTION("IMPORTRANGE(""https://docs.google.com/spreadsheets/d/1eHaY18a8A9IcSdp1K8H6x8fbOy06t2VsZHhMHf-1x7Y/edit?usp=sharing"",""แผน!AK71"")"),0)</f>
        <v>0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hidden="1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IFERROR(__xludf.DUMMYFUNCTION("IMPORTRANGE(""https://docs.google.com/spreadsheets/d/1eHaY18a8A9IcSdp1K8H6x8fbOy06t2VsZHhMHf-1x7Y/edit?usp=sharing"",""แผน!AK71"")"),0)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IFERROR(__xludf.DUMMYFUNCTION("IMPORTRANGE(""https://docs.google.com/spreadsheets/d/1eHaY18a8A9IcSdp1K8H6x8fbOy06t2VsZHhMHf-1x7Y/edit?usp=sharing"",""แผน!AM71"")"),0)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IFERROR(__xludf.DUMMYFUNCTION("IMPORTRANGE(""https://docs.google.com/spreadsheets/d/1eHaY18a8A9IcSdp1K8H6x8fbOy06t2VsZHhMHf-1x7Y/edit?usp=sharing"",""แผน!AN71"")"),0)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IFERROR(__xludf.DUMMYFUNCTION("IMPORTRANGE(""https://docs.google.com/spreadsheets/d/1eHaY18a8A9IcSdp1K8H6x8fbOy06t2VsZHhMHf-1x7Y/edit?usp=sharing"",""แผน!AO71"")"),0)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IFERROR(__xludf.DUMMYFUNCTION("IMPORTRANGE(""https://docs.google.com/spreadsheets/d/1eHaY18a8A9IcSdp1K8H6x8fbOy06t2VsZHhMHf-1x7Y/edit?usp=sharing"",""แผน!AP71"")"),0)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IFERROR(__xludf.DUMMYFUNCTION("IMPORTRANGE(""https://docs.google.com/spreadsheets/d/1eHaY18a8A9IcSdp1K8H6x8fbOy06t2VsZHhMHf-1x7Y/edit?usp=sharing"",""แผน!AP71"")"),0)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12000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IFERROR(__xludf.DUMMYFUNCTION("IMPORTRANGE(""https://docs.google.com/spreadsheets/d/1eHaY18a8A9IcSdp1K8H6x8fbOy06t2VsZHhMHf-1x7Y/edit?usp=sharing"",""แผน!AR71"")"),3000)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IFERROR(__xludf.DUMMYFUNCTION("IMPORTRANGE(""https://docs.google.com/spreadsheets/d/1eHaY18a8A9IcSdp1K8H6x8fbOy06t2VsZHhMHf-1x7Y/edit?usp=sharing"",""แผน!AS71"")"),1500)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IFERROR(__xludf.DUMMYFUNCTION("IMPORTRANGE(""https://docs.google.com/spreadsheets/d/1eHaY18a8A9IcSdp1K8H6x8fbOy06t2VsZHhMHf-1x7Y/edit?usp=sharing"",""แผน!AT71"")"),0)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IFERROR(__xludf.DUMMYFUNCTION("IMPORTRANGE(""https://docs.google.com/spreadsheets/d/1eHaY18a8A9IcSdp1K8H6x8fbOy06t2VsZHhMHf-1x7Y/edit?usp=sharing"",""แผน!AV71"")"),12000)</f>
        <v>12000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IFERROR(__xludf.DUMMYFUNCTION("IMPORTRANGE(""https://docs.google.com/spreadsheets/d/1eHaY18a8A9IcSdp1K8H6x8fbOy06t2VsZHhMHf-1x7Y/edit?usp=sharing"",""แผน!AV71"")"),12000)</f>
        <v>12000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IFERROR(__xludf.DUMMYFUNCTION("IMPORTRANGE(""https://docs.google.com/spreadsheets/d/1eHaY18a8A9IcSdp1K8H6x8fbOy06t2VsZHhMHf-1x7Y/edit?usp=sharing"",""แผน!AU71"")"),0)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IFERROR(__xludf.DUMMYFUNCTION("IMPORTRANGE(""https://docs.google.com/spreadsheets/d/1eHaY18a8A9IcSdp1K8H6x8fbOy06t2VsZHhMHf-1x7Y/edit?usp=sharing"",""แผน!AX71"")"),0)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IFERROR(__xludf.DUMMYFUNCTION("IMPORTRANGE(""https://docs.google.com/spreadsheets/d/1eHaY18a8A9IcSdp1K8H6x8fbOy06t2VsZHhMHf-1x7Y/edit?usp=sharing"",""แผน!AY71"")"),0)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IFERROR(__xludf.DUMMYFUNCTION("IMPORTRANGE(""https://docs.google.com/spreadsheets/d/1eHaY18a8A9IcSdp1K8H6x8fbOy06t2VsZHhMHf-1x7Y/edit?usp=sharing"",""แผน!AZ71"")"),0)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IFERROR(__xludf.DUMMYFUNCTION("IMPORTRANGE(""https://docs.google.com/spreadsheets/d/1eHaY18a8A9IcSdp1K8H6x8fbOy06t2VsZHhMHf-1x7Y/edit?usp=sharing"",""แผน!BA71"")"),0)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IFERROR(__xludf.DUMMYFUNCTION("IMPORTRANGE(""https://docs.google.com/spreadsheets/d/1eHaY18a8A9IcSdp1K8H6x8fbOy06t2VsZHhMHf-1x7Y/edit?usp=sharing"",""แผน!BG71"")"),0)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IFERROR(__xludf.DUMMYFUNCTION("IMPORTRANGE(""https://docs.google.com/spreadsheets/d/1eHaY18a8A9IcSdp1K8H6x8fbOy06t2VsZHhMHf-1x7Y/edit?usp=sharing"",""แผน!BB71"")"),0)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IFERROR(__xludf.DUMMYFUNCTION("IMPORTRANGE(""https://docs.google.com/spreadsheets/d/1eHaY18a8A9IcSdp1K8H6x8fbOy06t2VsZHhMHf-1x7Y/edit?usp=sharing"",""แผน!BC71"")"),0)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IFERROR(__xludf.DUMMYFUNCTION("IMPORTRANGE(""https://docs.google.com/spreadsheets/d/1eHaY18a8A9IcSdp1K8H6x8fbOy06t2VsZHhMHf-1x7Y/edit?usp=sharing"",""แผน!BD71"")"),0)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IFERROR(__xludf.DUMMYFUNCTION("IMPORTRANGE(""https://docs.google.com/spreadsheets/d/1eHaY18a8A9IcSdp1K8H6x8fbOy06t2VsZHhMHf-1x7Y/edit?usp=sharing"",""แผน!BE71"")"),0)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IFERROR(__xludf.DUMMYFUNCTION("IMPORTRANGE(""https://docs.google.com/spreadsheets/d/1eHaY18a8A9IcSdp1K8H6x8fbOy06t2VsZHhMHf-1x7Y/edit?usp=sharing"",""แผน!BH71"")"),0)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IFERROR(__xludf.DUMMYFUNCTION("IMPORTRANGE(""https://docs.google.com/spreadsheets/d/1-uDff_7J0KD5mKrp0Vvzr7lt3OU09vwQwhkpOPPYv2Y/edit?usp=sharing"",""งบพรบ!DE71"")"),0)</f>
        <v>0</v>
      </c>
      <c r="M271" s="522">
        <f ca="1">IFERROR(__xludf.DUMMYFUNCTION("IMPORTRANGE(""https://docs.google.com/spreadsheets/d/1-uDff_7J0KD5mKrp0Vvzr7lt3OU09vwQwhkpOPPYv2Y/edit?usp=sharing"",""งบพรบ!DJ71"")"),0)</f>
        <v>0</v>
      </c>
      <c r="N271" s="522">
        <f ca="1">IFERROR(__xludf.DUMMYFUNCTION("IMPORTRANGE(""https://docs.google.com/spreadsheets/d/1-uDff_7J0KD5mKrp0Vvzr7lt3OU09vwQwhkpOPPYv2Y/edit?usp=sharing"",""งบพรบ!DL71"")"),0)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IFERROR(__xludf.DUMMYFUNCTION("IMPORTRANGE(""https://docs.google.com/spreadsheets/d/1-uDff_7J0KD5mKrp0Vvzr7lt3OU09vwQwhkpOPPYv2Y/edit?usp=sharing"",""งบพรบ!DH71"")"),0)</f>
        <v>0</v>
      </c>
      <c r="M274" s="522">
        <f ca="1">IFERROR(__xludf.DUMMYFUNCTION("IMPORTRANGE(""https://docs.google.com/spreadsheets/d/1-uDff_7J0KD5mKrp0Vvzr7lt3OU09vwQwhkpOPPYv2Y/edit?usp=sharing"",""งบพรบ!DK71"")"),0)</f>
        <v>0</v>
      </c>
      <c r="N274" s="522">
        <f ca="1">IFERROR(__xludf.DUMMYFUNCTION("IMPORTRANGE(""https://docs.google.com/spreadsheets/d/1-uDff_7J0KD5mKrp0Vvzr7lt3OU09vwQwhkpOPPYv2Y/edit?usp=sharing"",""งบพรบ!DM71"")"),0)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IFERROR(__xludf.DUMMYFUNCTION("IMPORTRANGE(""https://docs.google.com/spreadsheets/d/1-uDff_7J0KD5mKrp0Vvzr7lt3OU09vwQwhkpOPPYv2Y/edit?usp=sharing"",""งบพรบ!DO71"")"),0)</f>
        <v>0</v>
      </c>
      <c r="M287" s="427">
        <f ca="1">IFERROR(__xludf.DUMMYFUNCTION("IMPORTRANGE(""https://docs.google.com/spreadsheets/d/1-uDff_7J0KD5mKrp0Vvzr7lt3OU09vwQwhkpOPPYv2Y/edit?usp=sharing"",""งบพรบ!DT71"")"),0)</f>
        <v>0</v>
      </c>
      <c r="N287" s="427">
        <f ca="1">IFERROR(__xludf.DUMMYFUNCTION("IMPORTRANGE(""https://docs.google.com/spreadsheets/d/1-uDff_7J0KD5mKrp0Vvzr7lt3OU09vwQwhkpOPPYv2Y/edit?usp=sharing"",""งบพรบ!DV71"")"),0)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IFERROR(__xludf.DUMMYFUNCTION("IMPORTRANGE(""https://docs.google.com/spreadsheets/d/1-uDff_7J0KD5mKrp0Vvzr7lt3OU09vwQwhkpOPPYv2Y/edit?usp=sharing"",""งบพรบ!DR71"")"),0)</f>
        <v>0</v>
      </c>
      <c r="M290" s="427">
        <f ca="1">IFERROR(__xludf.DUMMYFUNCTION("IMPORTRANGE(""https://docs.google.com/spreadsheets/d/1-uDff_7J0KD5mKrp0Vvzr7lt3OU09vwQwhkpOPPYv2Y/edit?usp=sharing"",""งบพรบ!DU71"")"),0)</f>
        <v>0</v>
      </c>
      <c r="N290" s="427">
        <f ca="1">IFERROR(__xludf.DUMMYFUNCTION("IMPORTRANGE(""https://docs.google.com/spreadsheets/d/1-uDff_7J0KD5mKrp0Vvzr7lt3OU09vwQwhkpOPPYv2Y/edit?usp=sharing"",""งบพรบ!DW71"")"),0)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IFERROR(__xludf.DUMMYFUNCTION("IMPORTRANGE(""https://docs.google.com/spreadsheets/d/1eHaY18a8A9IcSdp1K8H6x8fbOy06t2VsZHhMHf-1x7Y/edit?usp=sharing"",""แผน!EE71"")"),0)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IFERROR(__xludf.DUMMYFUNCTION("IMPORTRANGE(""https://docs.google.com/spreadsheets/d/1eHaY18a8A9IcSdp1K8H6x8fbOy06t2VsZHhMHf-1x7Y/edit?usp=sharing"",""แผน!ED71"")"),0)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IFERROR(__xludf.DUMMYFUNCTION("IMPORTRANGE(""https://docs.google.com/spreadsheets/d/1eHaY18a8A9IcSdp1K8H6x8fbOy06t2VsZHhMHf-1x7Y/edit?usp=sharing"",""แผน!ED71"")"),0)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IFERROR(__xludf.DUMMYFUNCTION("IMPORTRANGE(""https://docs.google.com/spreadsheets/d/1eHaY18a8A9IcSdp1K8H6x8fbOy06t2VsZHhMHf-1x7Y/edit?usp=sharing"",""แผน!ED71"")"),0)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IFERROR(__xludf.DUMMYFUNCTION("IMPORTRANGE(""https://docs.google.com/spreadsheets/d/1-uDff_7J0KD5mKrp0Vvzr7lt3OU09vwQwhkpOPPYv2Y/edit?usp=sharing"",""งบพรบ!DY71"")"),0)</f>
        <v>0</v>
      </c>
      <c r="M308" s="427">
        <f ca="1">IFERROR(__xludf.DUMMYFUNCTION("IMPORTRANGE(""https://docs.google.com/spreadsheets/d/1-uDff_7J0KD5mKrp0Vvzr7lt3OU09vwQwhkpOPPYv2Y/edit?usp=sharing"",""งบพรบ!ED71"")"),0)</f>
        <v>0</v>
      </c>
      <c r="N308" s="427">
        <f ca="1">IFERROR(__xludf.DUMMYFUNCTION("IMPORTRANGE(""https://docs.google.com/spreadsheets/d/1-uDff_7J0KD5mKrp0Vvzr7lt3OU09vwQwhkpOPPYv2Y/edit?usp=sharing"",""งบพรบ!EF71"")"),0)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IFERROR(__xludf.DUMMYFUNCTION("IMPORTRANGE(""https://docs.google.com/spreadsheets/d/1-uDff_7J0KD5mKrp0Vvzr7lt3OU09vwQwhkpOPPYv2Y/edit?usp=sharing"",""งบพรบ!EB71"")"),0)</f>
        <v>0</v>
      </c>
      <c r="M311" s="427">
        <f ca="1">IFERROR(__xludf.DUMMYFUNCTION("IMPORTRANGE(""https://docs.google.com/spreadsheets/d/1-uDff_7J0KD5mKrp0Vvzr7lt3OU09vwQwhkpOPPYv2Y/edit?usp=sharing"",""งบพรบ!EE71"")"),0)</f>
        <v>0</v>
      </c>
      <c r="N311" s="427">
        <f ca="1">IFERROR(__xludf.DUMMYFUNCTION("IMPORTRANGE(""https://docs.google.com/spreadsheets/d/1-uDff_7J0KD5mKrp0Vvzr7lt3OU09vwQwhkpOPPYv2Y/edit?usp=sharing"",""งบพรบ!EG71"")"),0)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IFERROR(__xludf.DUMMYFUNCTION("IMPORTRANGE(""https://docs.google.com/spreadsheets/d/1eHaY18a8A9IcSdp1K8H6x8fbOy06t2VsZHhMHf-1x7Y/edit?usp=sharing"",""แผน!EF71"")"),0)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IFERROR(__xludf.DUMMYFUNCTION("IMPORTRANGE(""https://docs.google.com/spreadsheets/d/1eHaY18a8A9IcSdp1K8H6x8fbOy06t2VsZHhMHf-1x7Y/edit?usp=sharing"",""แผน!EG71"")"),0)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IFERROR(__xludf.DUMMYFUNCTION("IMPORTRANGE(""https://docs.google.com/spreadsheets/d/1eHaY18a8A9IcSdp1K8H6x8fbOy06t2VsZHhMHf-1x7Y/edit?usp=sharing"",""แผน!EH71"")"),0)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IFERROR(__xludf.DUMMYFUNCTION("IMPORTRANGE(""https://docs.google.com/spreadsheets/d/1eHaY18a8A9IcSdp1K8H6x8fbOy06t2VsZHhMHf-1x7Y/edit?usp=sharing"",""แผน!EI71"")"),0)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IFERROR(__xludf.DUMMYFUNCTION("IMPORTRANGE(""https://docs.google.com/spreadsheets/d/1-uDff_7J0KD5mKrp0Vvzr7lt3OU09vwQwhkpOPPYv2Y/edit?usp=sharing"",""งบพรบ!EI71"")"),0)</f>
        <v>0</v>
      </c>
      <c r="M325" s="427">
        <f ca="1">IFERROR(__xludf.DUMMYFUNCTION("IMPORTRANGE(""https://docs.google.com/spreadsheets/d/1-uDff_7J0KD5mKrp0Vvzr7lt3OU09vwQwhkpOPPYv2Y/edit?usp=sharing"",""งบพรบ!EN71"")"),0)</f>
        <v>0</v>
      </c>
      <c r="N325" s="427">
        <f ca="1">IFERROR(__xludf.DUMMYFUNCTION("IMPORTRANGE(""https://docs.google.com/spreadsheets/d/1-uDff_7J0KD5mKrp0Vvzr7lt3OU09vwQwhkpOPPYv2Y/edit?usp=sharing"",""งบพรบ!EP71"")"),0)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IFERROR(__xludf.DUMMYFUNCTION("IMPORTRANGE(""https://docs.google.com/spreadsheets/d/1-uDff_7J0KD5mKrp0Vvzr7lt3OU09vwQwhkpOPPYv2Y/edit?usp=sharing"",""งบพรบ!EL71"")"),0)</f>
        <v>0</v>
      </c>
      <c r="M328" s="427">
        <f ca="1">IFERROR(__xludf.DUMMYFUNCTION("IMPORTRANGE(""https://docs.google.com/spreadsheets/d/1-uDff_7J0KD5mKrp0Vvzr7lt3OU09vwQwhkpOPPYv2Y/edit?usp=sharing"",""งบพรบ!EO71"")"),0)</f>
        <v>0</v>
      </c>
      <c r="N328" s="427">
        <f ca="1">IFERROR(__xludf.DUMMYFUNCTION("IMPORTRANGE(""https://docs.google.com/spreadsheets/d/1-uDff_7J0KD5mKrp0Vvzr7lt3OU09vwQwhkpOPPYv2Y/edit?usp=sharing"",""งบพรบ!EQ71"")"),0)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IFERROR(__xludf.DUMMYFUNCTION("IMPORTRANGE(""https://docs.google.com/spreadsheets/d/1eHaY18a8A9IcSdp1K8H6x8fbOy06t2VsZHhMHf-1x7Y/edit?usp=sharing"",""แผน!EJ71"")"),0)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40</v>
      </c>
      <c r="J332" s="404">
        <f ca="1">J344+J347+J348+J349+J353</f>
        <v>19</v>
      </c>
      <c r="K332" s="405">
        <f ca="1">IF(I332&gt;0,J332*100/I332,0)</f>
        <v>47.5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213600</v>
      </c>
      <c r="M333" s="737">
        <f ca="1">M334+M335</f>
        <v>155950</v>
      </c>
      <c r="N333" s="737">
        <f ca="1">N334+N335</f>
        <v>44300</v>
      </c>
      <c r="O333" s="737">
        <f ca="1">IF(L333&gt;0,N333*100/L333,0)</f>
        <v>20.739700374531836</v>
      </c>
      <c r="P333" s="737">
        <f ca="1">IF(M333&gt;0,N333*100/M333,0)</f>
        <v>28.406540557871111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213600</v>
      </c>
      <c r="M335" s="427">
        <f ca="1">M338+M341</f>
        <v>155950</v>
      </c>
      <c r="N335" s="427">
        <f ca="1">N338+N341</f>
        <v>44300</v>
      </c>
      <c r="O335" s="427">
        <f ca="1">IF(L335&gt;0,N335*100/L335,0)</f>
        <v>20.739700374531836</v>
      </c>
      <c r="P335" s="427">
        <f ca="1">IF(M335&gt;0,N335*100/M335,0)</f>
        <v>28.406540557871111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213600</v>
      </c>
      <c r="M336" s="427">
        <f ca="1">M337+M338</f>
        <v>155950</v>
      </c>
      <c r="N336" s="427">
        <f ca="1">N337+N338</f>
        <v>44300</v>
      </c>
      <c r="O336" s="427">
        <f ca="1">IF(L336&gt;0,N336*100/L336,0)</f>
        <v>20.739700374531836</v>
      </c>
      <c r="P336" s="427">
        <f ca="1">IF(M336&gt;0,N336*100/M336,0)</f>
        <v>28.406540557871111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IFERROR(__xludf.DUMMYFUNCTION("IMPORTRANGE(""https://docs.google.com/spreadsheets/d/1-uDff_7J0KD5mKrp0Vvzr7lt3OU09vwQwhkpOPPYv2Y/edit?usp=sharing"",""งบพรบ!ES71"")"),213600)</f>
        <v>213600</v>
      </c>
      <c r="M338" s="427">
        <f ca="1">IFERROR(__xludf.DUMMYFUNCTION("IMPORTRANGE(""https://docs.google.com/spreadsheets/d/1-uDff_7J0KD5mKrp0Vvzr7lt3OU09vwQwhkpOPPYv2Y/edit?usp=sharing"",""งบพรบ!EX71"")"),155950)</f>
        <v>155950</v>
      </c>
      <c r="N338" s="427">
        <f ca="1">IFERROR(__xludf.DUMMYFUNCTION("IMPORTRANGE(""https://docs.google.com/spreadsheets/d/1-uDff_7J0KD5mKrp0Vvzr7lt3OU09vwQwhkpOPPYv2Y/edit?usp=sharing"",""งบพรบ!EZ71"")"),44300)</f>
        <v>44300</v>
      </c>
      <c r="O338" s="427">
        <f ca="1">IF(L338&gt;0,N338*100/L338,0)</f>
        <v>20.739700374531836</v>
      </c>
      <c r="P338" s="427">
        <f ca="1">IF(M338&gt;0,N338*100/M338,0)</f>
        <v>28.406540557871111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IFERROR(__xludf.DUMMYFUNCTION("IMPORTRANGE(""https://docs.google.com/spreadsheets/d/1-uDff_7J0KD5mKrp0Vvzr7lt3OU09vwQwhkpOPPYv2Y/edit?usp=sharing"",""งบพรบ!EV71"")"),0)</f>
        <v>0</v>
      </c>
      <c r="M341" s="427">
        <f ca="1">IFERROR(__xludf.DUMMYFUNCTION("IMPORTRANGE(""https://docs.google.com/spreadsheets/d/1-uDff_7J0KD5mKrp0Vvzr7lt3OU09vwQwhkpOPPYv2Y/edit?usp=sharing"",""งบพรบ!EY71"")"),0)</f>
        <v>0</v>
      </c>
      <c r="N341" s="427">
        <f ca="1">IFERROR(__xludf.DUMMYFUNCTION("IMPORTRANGE(""https://docs.google.com/spreadsheets/d/1-uDff_7J0KD5mKrp0Vvzr7lt3OU09vwQwhkpOPPYv2Y/edit?usp=sharing"",""งบพรบ!FA71"")"),0)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19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IFERROR(__xludf.DUMMYFUNCTION("IMPORTRANGE(""https://docs.google.com/spreadsheets/d/1eHaY18a8A9IcSdp1K8H6x8fbOy06t2VsZHhMHf-1x7Y/edit?usp=sharing"",""แผน!EK71"")"),40)</f>
        <v>40</v>
      </c>
      <c r="J344" s="426">
        <f ca="1">IFERROR(__xludf.DUMMYFUNCTION("IMPORTRANGE(""https://docs.google.com/spreadsheets/d/1awYsYK3VOup2i3Pq_Yjnu8DRu_mYwSBnCR2QPthd0rU/edit?usp=sharing"",""ศูนย์ยกเว้นโฉนด!D71"")"),3)</f>
        <v>3</v>
      </c>
      <c r="K344" s="427">
        <f ca="1">IF(I344&gt;0,J344*100/I344,0)</f>
        <v>7.5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IFERROR(__xludf.DUMMYFUNCTION("IMPORTRANGE(""https://docs.google.com/spreadsheets/d/1eHaY18a8A9IcSdp1K8H6x8fbOy06t2VsZHhMHf-1x7Y/edit?usp=sharing"",""แผน!EL71"")"),1)</f>
        <v>1</v>
      </c>
      <c r="J346" s="426">
        <f ca="1">IFERROR(__xludf.DUMMYFUNCTION("IMPORTRANGE(""https://docs.google.com/spreadsheets/d/1awYsYK3VOup2i3Pq_Yjnu8DRu_mYwSBnCR2QPthd0rU/edit?usp=sharing"",""ศูนย์รวม!E71"")"),1)</f>
        <v>1</v>
      </c>
      <c r="K346" s="427">
        <f ca="1">IF(I346&gt;0,J346*100/I346,0)</f>
        <v>100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IFERROR(__xludf.DUMMYFUNCTION("IMPORTRANGE(""https://docs.google.com/spreadsheets/d/1awYsYK3VOup2i3Pq_Yjnu8DRu_mYwSBnCR2QPthd0rU/edit?usp=sharing"",""ศูนย์ยกเว้นโฉนด!F71"")"),14)</f>
        <v>14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IFERROR(__xludf.DUMMYFUNCTION("IMPORTRANGE(""https://docs.google.com/spreadsheets/d/1awYsYK3VOup2i3Pq_Yjnu8DRu_mYwSBnCR2QPthd0rU/edit?usp=sharing"",""ศูนย์ยกเว้นโฉนด!G71"")"),2)</f>
        <v>2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IFERROR(__xludf.DUMMYFUNCTION("IMPORTRANGE(""https://docs.google.com/spreadsheets/d/1awYsYK3VOup2i3Pq_Yjnu8DRu_mYwSBnCR2QPthd0rU/edit?usp=sharing"",""ศูนย์ยกเว้นโฉนด!H71"")"),0)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IFERROR(__xludf.DUMMYFUNCTION("IMPORTRANGE(""https://docs.google.com/spreadsheets/d/1awYsYK3VOup2i3Pq_Yjnu8DRu_mYwSBnCR2QPthd0rU/edit?usp=sharing"",""โฉนดM3!G71"")"),0)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IFERROR(__xludf.DUMMYFUNCTION("IMPORTRANGE(""https://docs.google.com/spreadsheets/d/1awYsYK3VOup2i3Pq_Yjnu8DRu_mYwSBnCR2QPthd0rU/edit?usp=sharing"",""โฉนดM3!H71"")"),0)</f>
        <v>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112985</v>
      </c>
      <c r="M356" s="737">
        <f ca="1">M357+M358</f>
        <v>86985</v>
      </c>
      <c r="N356" s="737">
        <f ca="1">N357+N358</f>
        <v>26000</v>
      </c>
      <c r="O356" s="737">
        <f ca="1">IF(L356&gt;0,N356*100/L356,0)</f>
        <v>23.011904235075452</v>
      </c>
      <c r="P356" s="737">
        <f ca="1">IF(M356&gt;0,N356*100/M356,0)</f>
        <v>29.89021095591194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112985</v>
      </c>
      <c r="M358" s="427">
        <f ca="1">M361+M364</f>
        <v>86985</v>
      </c>
      <c r="N358" s="427">
        <f ca="1">N361+N364</f>
        <v>26000</v>
      </c>
      <c r="O358" s="427">
        <f ca="1">IF(L358&gt;0,N358*100/L358,0)</f>
        <v>23.011904235075452</v>
      </c>
      <c r="P358" s="427">
        <f ca="1">IF(M358&gt;0,N358*100/M358,0)</f>
        <v>29.89021095591194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112985</v>
      </c>
      <c r="M359" s="427">
        <f ca="1">M360+M361</f>
        <v>86985</v>
      </c>
      <c r="N359" s="427">
        <f ca="1">N360+N361</f>
        <v>26000</v>
      </c>
      <c r="O359" s="427">
        <f ca="1">IF(L359&gt;0,N359*100/L359,0)</f>
        <v>23.011904235075452</v>
      </c>
      <c r="P359" s="427">
        <f ca="1">IF(M359&gt;0,N359*100/M359,0)</f>
        <v>29.89021095591194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IFERROR(__xludf.DUMMYFUNCTION("IMPORTRANGE(""https://docs.google.com/spreadsheets/d/1-uDff_7J0KD5mKrp0Vvzr7lt3OU09vwQwhkpOPPYv2Y/edit?usp=sharing"",""งบพรบ!FC71"")"),112985)</f>
        <v>112985</v>
      </c>
      <c r="M361" s="427">
        <f ca="1">IFERROR(__xludf.DUMMYFUNCTION("IMPORTRANGE(""https://docs.google.com/spreadsheets/d/1-uDff_7J0KD5mKrp0Vvzr7lt3OU09vwQwhkpOPPYv2Y/edit?usp=sharing"",""งบพรบ!FH71"")"),86985)</f>
        <v>86985</v>
      </c>
      <c r="N361" s="427">
        <f ca="1">IFERROR(__xludf.DUMMYFUNCTION("IMPORTRANGE(""https://docs.google.com/spreadsheets/d/1-uDff_7J0KD5mKrp0Vvzr7lt3OU09vwQwhkpOPPYv2Y/edit?usp=sharing"",""งบพรบ!FJ71"")"),26000)</f>
        <v>26000</v>
      </c>
      <c r="O361" s="427">
        <f ca="1">IF(L361&gt;0,N361*100/L361,0)</f>
        <v>23.011904235075452</v>
      </c>
      <c r="P361" s="427">
        <f ca="1">IF(M361&gt;0,N361*100/M361,0)</f>
        <v>29.89021095591194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IFERROR(__xludf.DUMMYFUNCTION("IMPORTRANGE(""https://docs.google.com/spreadsheets/d/1-uDff_7J0KD5mKrp0Vvzr7lt3OU09vwQwhkpOPPYv2Y/edit?usp=sharing"",""งบพรบ!FF71"")"),0)</f>
        <v>0</v>
      </c>
      <c r="M364" s="427">
        <f ca="1">IFERROR(__xludf.DUMMYFUNCTION("IMPORTRANGE(""https://docs.google.com/spreadsheets/d/1-uDff_7J0KD5mKrp0Vvzr7lt3OU09vwQwhkpOPPYv2Y/edit?usp=sharing"",""งบพรบ!FI71"")"),0)</f>
        <v>0</v>
      </c>
      <c r="N364" s="427">
        <f ca="1">IFERROR(__xludf.DUMMYFUNCTION("IMPORTRANGE(""https://docs.google.com/spreadsheets/d/1-uDff_7J0KD5mKrp0Vvzr7lt3OU09vwQwhkpOPPYv2Y/edit?usp=sharing"",""งบพรบ!FK71"")"),0)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0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IFERROR(__xludf.DUMMYFUNCTION("IMPORTRANGE(""https://docs.google.com/spreadsheets/d/1tdoBKaGub7dwA3U6UFTqxio9LNnvDCQjHKmttSEBsFQ/edit?usp=sharing"",""จัดที่ดิน!AB71"")"),0)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IFERROR(__xludf.DUMMYFUNCTION("IMPORTRANGE(""https://docs.google.com/spreadsheets/d/1eHaY18a8A9IcSdp1K8H6x8fbOy06t2VsZHhMHf-1x7Y/edit?usp=sharing"",""แผน!EW71"")"),0)</f>
        <v>0</v>
      </c>
      <c r="J368" s="726">
        <f ca="1">IFERROR(__xludf.DUMMYFUNCTION("IMPORTRANGE(""https://docs.google.com/spreadsheets/d/1tdoBKaGub7dwA3U6UFTqxio9LNnvDCQjHKmttSEBsFQ/edit?usp=sharing"",""จัดที่ดิน!AC71"")"),0)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IFERROR(__xludf.DUMMYFUNCTION("IMPORTRANGE(""https://docs.google.com/spreadsheets/d/1eHaY18a8A9IcSdp1K8H6x8fbOy06t2VsZHhMHf-1x7Y/edit?usp=sharing"",""แผน!EX71"")"),0)</f>
        <v>0</v>
      </c>
      <c r="J369" s="426">
        <f ca="1">IFERROR(__xludf.DUMMYFUNCTION("IMPORTRANGE(""https://docs.google.com/spreadsheets/d/1tdoBKaGub7dwA3U6UFTqxio9LNnvDCQjHKmttSEBsFQ/edit?usp=sharing"",""จัดที่ดิน!AD71"")"),0)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IFERROR(__xludf.DUMMYFUNCTION("IMPORTRANGE(""https://docs.google.com/spreadsheets/d/1tdoBKaGub7dwA3U6UFTqxio9LNnvDCQjHKmttSEBsFQ/edit?usp=sharing"",""จัดที่ดิน!AE71"")"),0)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IFERROR(__xludf.DUMMYFUNCTION("IMPORTRANGE(""https://docs.google.com/spreadsheets/d/1eHaY18a8A9IcSdp1K8H6x8fbOy06t2VsZHhMHf-1x7Y/edit?usp=sharing"",""แผน!EY71"")"),0)</f>
        <v>0</v>
      </c>
      <c r="J371" s="426">
        <f ca="1">IFERROR(__xludf.DUMMYFUNCTION("IMPORTRANGE(""https://docs.google.com/spreadsheets/d/1tdoBKaGub7dwA3U6UFTqxio9LNnvDCQjHKmttSEBsFQ/edit?usp=sharing"",""จัดที่ดิน!AF71"")"),0)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IFERROR(__xludf.DUMMYFUNCTION("IMPORTRANGE(""https://docs.google.com/spreadsheets/d/1tdoBKaGub7dwA3U6UFTqxio9LNnvDCQjHKmttSEBsFQ/edit?usp=sharing"",""จัดที่ดิน!AG71"")"),0)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IFERROR(__xludf.DUMMYFUNCTION("IMPORTRANGE(""https://docs.google.com/spreadsheets/d/1-uDff_7J0KD5mKrp0Vvzr7lt3OU09vwQwhkpOPPYv2Y/edit?usp=sharing"",""งบพรบ!FM71"")"),0)</f>
        <v>0</v>
      </c>
      <c r="M382" s="522">
        <f ca="1">IFERROR(__xludf.DUMMYFUNCTION("IMPORTRANGE(""https://docs.google.com/spreadsheets/d/1-uDff_7J0KD5mKrp0Vvzr7lt3OU09vwQwhkpOPPYv2Y/edit?usp=sharing"",""งบพรบ!FR71"")"),0)</f>
        <v>0</v>
      </c>
      <c r="N382" s="522">
        <f ca="1">IFERROR(__xludf.DUMMYFUNCTION("IMPORTRANGE(""https://docs.google.com/spreadsheets/d/1-uDff_7J0KD5mKrp0Vvzr7lt3OU09vwQwhkpOPPYv2Y/edit?usp=sharing"",""งบพรบ!FT71"")"),0)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IFERROR(__xludf.DUMMYFUNCTION("IMPORTRANGE(""https://docs.google.com/spreadsheets/d/1-uDff_7J0KD5mKrp0Vvzr7lt3OU09vwQwhkpOPPYv2Y/edit?usp=sharing"",""งบพรบ!FP71"")"),0)</f>
        <v>0</v>
      </c>
      <c r="M385" s="522">
        <f ca="1">IFERROR(__xludf.DUMMYFUNCTION("IMPORTRANGE(""https://docs.google.com/spreadsheets/d/1-uDff_7J0KD5mKrp0Vvzr7lt3OU09vwQwhkpOPPYv2Y/edit?usp=sharing"",""งบพรบ!FS71"")"),0)</f>
        <v>0</v>
      </c>
      <c r="N385" s="522">
        <f ca="1">IFERROR(__xludf.DUMMYFUNCTION("IMPORTRANGE(""https://docs.google.com/spreadsheets/d/1-uDff_7J0KD5mKrp0Vvzr7lt3OU09vwQwhkpOPPYv2Y/edit?usp=sharing"",""งบพรบ!FU71"")"),0)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1E6F-056D-4C45-8503-E3142AE2AF05}">
  <sheetPr>
    <outlinePr summaryBelow="0" summaryRight="0"/>
    <pageSetUpPr fitToPage="1"/>
  </sheetPr>
  <dimension ref="A1:P391"/>
  <sheetViews>
    <sheetView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1" width="12.5703125" bestFit="1" customWidth="1"/>
    <col min="12" max="13" width="21.28515625" bestFit="1" customWidth="1"/>
    <col min="14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185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2106925</v>
      </c>
      <c r="M18" s="865">
        <f ca="1">M19+M20</f>
        <v>1740005</v>
      </c>
      <c r="N18" s="865">
        <f ca="1">N19+N20</f>
        <v>747985.39</v>
      </c>
      <c r="O18" s="865">
        <f ca="1">IF(L18&gt;0,N18*100/L18,0)</f>
        <v>35.501282200363086</v>
      </c>
      <c r="P18" s="865">
        <f ca="1">IF(M18&gt;0,N18*100/M18,0)</f>
        <v>42.987542564532859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2106925</v>
      </c>
      <c r="M20" s="972">
        <f ca="1">M23+M26</f>
        <v>1740005</v>
      </c>
      <c r="N20" s="972">
        <f ca="1">N23+N26</f>
        <v>747985.39</v>
      </c>
      <c r="O20" s="972">
        <f ca="1">IF(L20&gt;0,N20*100/L20,0)</f>
        <v>35.501282200363086</v>
      </c>
      <c r="P20" s="972">
        <f ca="1">IF(M20&gt;0,N20*100/M20,0)</f>
        <v>42.987542564532859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2106925</v>
      </c>
      <c r="M21" s="427">
        <f ca="1">M22+M23</f>
        <v>1740005</v>
      </c>
      <c r="N21" s="427">
        <f ca="1">N22+N23</f>
        <v>747985.39</v>
      </c>
      <c r="O21" s="427">
        <f ca="1">IF(L21&gt;0,N21*100/L21,0)</f>
        <v>35.501282200363086</v>
      </c>
      <c r="P21" s="427">
        <f ca="1">IF(M21&gt;0,N21*100/M21,0)</f>
        <v>42.987542564532859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2106925</v>
      </c>
      <c r="M23" s="427">
        <f ca="1">M49+M64+M77+M99+M130+M144+M162+M191+M178+M271+M287+M308+M325+M338+M361+M382</f>
        <v>1740005</v>
      </c>
      <c r="N23" s="427">
        <f ca="1">N49+N64+N77+N99+N130+N144+N162+N191+N178+N271+N287+N308+N325+N338+N361+N382</f>
        <v>747985.39</v>
      </c>
      <c r="O23" s="427">
        <f ca="1">IF(L23&gt;0,N23*100/L23,0)</f>
        <v>35.501282200363086</v>
      </c>
      <c r="P23" s="427">
        <f ca="1">IF(M23&gt;0,N23*100/M23,0)</f>
        <v>42.987542564532859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2106925</v>
      </c>
      <c r="M40" s="964">
        <f ca="1">M44+M59+M72+M94+M125+M139+M157+M173+M186+M266+M282+M303+M320+M333+M356</f>
        <v>1740005</v>
      </c>
      <c r="N40" s="964">
        <f ca="1">N44+N59+N72+N94+N125+N139+N157+N173+N186+N266+N282+N303+N320+N333+N356</f>
        <v>747985.39</v>
      </c>
      <c r="O40" s="964">
        <f ca="1">IF(L40&gt;0,N40*100/L40,0)</f>
        <v>35.501282200363086</v>
      </c>
      <c r="P40" s="964">
        <f ca="1">IF(M40&gt;0,N40*100/M40,0)</f>
        <v>42.987542564532859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535550</v>
      </c>
      <c r="M44" s="949">
        <f ca="1">M45+M46</f>
        <v>537800</v>
      </c>
      <c r="N44" s="949">
        <f ca="1">N45+N46</f>
        <v>248816</v>
      </c>
      <c r="O44" s="949">
        <f ca="1">IF(L44&gt;0,N44*100/L44,0)</f>
        <v>46.459901036317802</v>
      </c>
      <c r="P44" s="949">
        <f ca="1">IF(M44&gt;0,N44*100/M44,0)</f>
        <v>46.265526217924879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535550</v>
      </c>
      <c r="M46" s="941">
        <f ca="1">M49+M52</f>
        <v>537800</v>
      </c>
      <c r="N46" s="941">
        <f ca="1">N49+N52</f>
        <v>248816</v>
      </c>
      <c r="O46" s="941">
        <f ca="1">IF(L46&gt;0,N46*100/L46,0)</f>
        <v>46.459901036317802</v>
      </c>
      <c r="P46" s="941">
        <f ca="1">IF(M46&gt;0,N46*100/M46,0)</f>
        <v>46.265526217924879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535550</v>
      </c>
      <c r="M47" s="427">
        <f ca="1">M48+M49</f>
        <v>537800</v>
      </c>
      <c r="N47" s="427">
        <f ca="1">N48+N49</f>
        <v>248816</v>
      </c>
      <c r="O47" s="427">
        <f ca="1">IF(L47&gt;0,N47*100/L47,0)</f>
        <v>46.459901036317802</v>
      </c>
      <c r="P47" s="427">
        <f ca="1">IF(M47&gt;0,N47*100/M47,0)</f>
        <v>46.265526217924879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IFERROR(__xludf.DUMMYFUNCTION("IMPORTRANGE(""https://docs.google.com/spreadsheets/d/1-uDff_7J0KD5mKrp0Vvzr7lt3OU09vwQwhkpOPPYv2Y/edit?usp=sharing"",""งบพรบ!P72"")"),535550)</f>
        <v>535550</v>
      </c>
      <c r="M49" s="427">
        <f ca="1">IFERROR(__xludf.DUMMYFUNCTION("IMPORTRANGE(""https://docs.google.com/spreadsheets/d/1-uDff_7J0KD5mKrp0Vvzr7lt3OU09vwQwhkpOPPYv2Y/edit?usp=sharing"",""งบพรบ!V72"")"),537800)</f>
        <v>537800</v>
      </c>
      <c r="N49" s="427">
        <f ca="1">IFERROR(__xludf.DUMMYFUNCTION("IMPORTRANGE(""https://docs.google.com/spreadsheets/d/1-uDff_7J0KD5mKrp0Vvzr7lt3OU09vwQwhkpOPPYv2Y/edit?usp=sharing"",""งบพรบ!Y72"")"),248816)</f>
        <v>248816</v>
      </c>
      <c r="O49" s="427">
        <f ca="1">IF(L49&gt;0,N49*100/L49,0)</f>
        <v>46.459901036317802</v>
      </c>
      <c r="P49" s="427">
        <f ca="1">IF(M49&gt;0,N49*100/M49,0)</f>
        <v>46.265526217924879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IFERROR(__xludf.DUMMYFUNCTION("IMPORTRANGE(""https://docs.google.com/spreadsheets/d/1-uDff_7J0KD5mKrp0Vvzr7lt3OU09vwQwhkpOPPYv2Y/edit?usp=sharing"",""งบพรบ!S72"")"),0)</f>
        <v>0</v>
      </c>
      <c r="M52" s="427">
        <f ca="1">IFERROR(__xludf.DUMMYFUNCTION("IMPORTRANGE(""https://docs.google.com/spreadsheets/d/1-uDff_7J0KD5mKrp0Vvzr7lt3OU09vwQwhkpOPPYv2Y/edit?usp=sharing"",""งบพรบ!W72"")"),0)</f>
        <v>0</v>
      </c>
      <c r="N52" s="427">
        <f ca="1">IFERROR(__xludf.DUMMYFUNCTION("IMPORTRANGE(""https://docs.google.com/spreadsheets/d/1-uDff_7J0KD5mKrp0Vvzr7lt3OU09vwQwhkpOPPYv2Y/edit?usp=sharing"",""งบพรบ!Z72"")"),0)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576900</v>
      </c>
      <c r="M59" s="921">
        <f ca="1">M60+M61</f>
        <v>434700</v>
      </c>
      <c r="N59" s="921">
        <f ca="1">N60+N61</f>
        <v>283280.55</v>
      </c>
      <c r="O59" s="921">
        <f ca="1">IF(L59&gt;0,N59*100/L59,0)</f>
        <v>49.103926157046281</v>
      </c>
      <c r="P59" s="921">
        <f ca="1">IF(M59&gt;0,N59*100/M59,0)</f>
        <v>65.166908212560386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576900</v>
      </c>
      <c r="M61" s="913">
        <f ca="1">M64+M67</f>
        <v>434700</v>
      </c>
      <c r="N61" s="913">
        <f ca="1">N64+N67</f>
        <v>283280.55</v>
      </c>
      <c r="O61" s="913">
        <f ca="1">IF(L61&gt;0,N61*100/L61,0)</f>
        <v>49.103926157046281</v>
      </c>
      <c r="P61" s="913">
        <f ca="1">IF(M61&gt;0,N61*100/M61,0)</f>
        <v>65.166908212560386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576900</v>
      </c>
      <c r="M62" s="427">
        <f ca="1">M63+M64</f>
        <v>434700</v>
      </c>
      <c r="N62" s="427">
        <f ca="1">N63+N64</f>
        <v>283280.55</v>
      </c>
      <c r="O62" s="427">
        <f ca="1">IF(L62&gt;0,N62*100/L62,0)</f>
        <v>49.103926157046281</v>
      </c>
      <c r="P62" s="427">
        <f ca="1">IF(M62&gt;0,N62*100/M62,0)</f>
        <v>65.166908212560386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IFERROR(__xludf.DUMMYFUNCTION("IMPORTRANGE(""https://docs.google.com/spreadsheets/d/1-uDff_7J0KD5mKrp0Vvzr7lt3OU09vwQwhkpOPPYv2Y/edit?usp=sharing"",""งบพรบ!AC72"")"),576900)</f>
        <v>576900</v>
      </c>
      <c r="M64" s="427">
        <f ca="1">IFERROR(__xludf.DUMMYFUNCTION("IMPORTRANGE(""https://docs.google.com/spreadsheets/d/1-uDff_7J0KD5mKrp0Vvzr7lt3OU09vwQwhkpOPPYv2Y/edit?usp=sharing"",""งบพรบ!AH72"")"),434700)</f>
        <v>434700</v>
      </c>
      <c r="N64" s="427">
        <f ca="1">IFERROR(__xludf.DUMMYFUNCTION("IMPORTRANGE(""https://docs.google.com/spreadsheets/d/1-uDff_7J0KD5mKrp0Vvzr7lt3OU09vwQwhkpOPPYv2Y/edit?usp=sharing"",""งบพรบ!AJ72"")"),283280.55)</f>
        <v>283280.55</v>
      </c>
      <c r="O64" s="427">
        <f ca="1">IF(L64&gt;0,N64*100/L64,0)</f>
        <v>49.103926157046281</v>
      </c>
      <c r="P64" s="427">
        <f ca="1">IF(M64&gt;0,N64*100/M64,0)</f>
        <v>65.166908212560386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IFERROR(__xludf.DUMMYFUNCTION("IMPORTRANGE(""https://docs.google.com/spreadsheets/d/1-uDff_7J0KD5mKrp0Vvzr7lt3OU09vwQwhkpOPPYv2Y/edit?usp=sharing"",""งบพรบ!AF72"")"),0)</f>
        <v>0</v>
      </c>
      <c r="M67" s="644">
        <f ca="1">IFERROR(__xludf.DUMMYFUNCTION("IMPORTRANGE(""https://docs.google.com/spreadsheets/d/1-uDff_7J0KD5mKrp0Vvzr7lt3OU09vwQwhkpOPPYv2Y/edit?usp=sharing"",""งบพรบ!AI72"")"),0)</f>
        <v>0</v>
      </c>
      <c r="N67" s="644">
        <f ca="1">IFERROR(__xludf.DUMMYFUNCTION("IMPORTRANGE(""https://docs.google.com/spreadsheets/d/1-uDff_7J0KD5mKrp0Vvzr7lt3OU09vwQwhkpOPPYv2Y/edit?usp=sharing"",""งบพรบ!AK72"")"),0)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IFERROR(__xludf.DUMMYFUNCTION("IMPORTRANGE(""https://docs.google.com/spreadsheets/d/1-uDff_7J0KD5mKrp0Vvzr7lt3OU09vwQwhkpOPPYv2Y/edit?usp=sharing"",""งบพรบ!AM72"")"),0)</f>
        <v>0</v>
      </c>
      <c r="M77" s="427">
        <f ca="1">IFERROR(__xludf.DUMMYFUNCTION("IMPORTRANGE(""https://docs.google.com/spreadsheets/d/1-uDff_7J0KD5mKrp0Vvzr7lt3OU09vwQwhkpOPPYv2Y/edit?usp=sharing"",""งบพรบ!AR72"")"),0)</f>
        <v>0</v>
      </c>
      <c r="N77" s="427">
        <f ca="1">IFERROR(__xludf.DUMMYFUNCTION("IMPORTRANGE(""https://docs.google.com/spreadsheets/d/1-uDff_7J0KD5mKrp0Vvzr7lt3OU09vwQwhkpOPPYv2Y/edit?usp=sharing"",""งบพรบ!AT72"")"),0)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IFERROR(__xludf.DUMMYFUNCTION("IMPORTRANGE(""https://docs.google.com/spreadsheets/d/1-uDff_7J0KD5mKrp0Vvzr7lt3OU09vwQwhkpOPPYv2Y/edit?usp=sharing"",""งบพรบ!AP72"")"),0)</f>
        <v>0</v>
      </c>
      <c r="M80" s="427">
        <f ca="1">IFERROR(__xludf.DUMMYFUNCTION("IMPORTRANGE(""https://docs.google.com/spreadsheets/d/1-uDff_7J0KD5mKrp0Vvzr7lt3OU09vwQwhkpOPPYv2Y/edit?usp=sharing"",""งบพรบ!AS72"")"),0)</f>
        <v>0</v>
      </c>
      <c r="N80" s="427">
        <f ca="1">IFERROR(__xludf.DUMMYFUNCTION("IMPORTRANGE(""https://docs.google.com/spreadsheets/d/1-uDff_7J0KD5mKrp0Vvzr7lt3OU09vwQwhkpOPPYv2Y/edit?usp=sharing"",""งบพรบ!AU72"")"),0)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IFERROR(__xludf.DUMMYFUNCTION("IMPORTRANGE(""https://docs.google.com/spreadsheets/d/1eHaY18a8A9IcSdp1K8H6x8fbOy06t2VsZHhMHf-1x7Y/edit?usp=sharing"",""แผน!H72"")"),0)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IFERROR(__xludf.DUMMYFUNCTION("IMPORTRANGE(""https://docs.google.com/spreadsheets/d/1eHaY18a8A9IcSdp1K8H6x8fbOy06t2VsZHhMHf-1x7Y/edit?usp=sharing"",""แผน!I72"")"),0)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IFERROR(__xludf.DUMMYFUNCTION("IMPORTRANGE(""https://docs.google.com/spreadsheets/d/1eHaY18a8A9IcSdp1K8H6x8fbOy06t2VsZHhMHf-1x7Y/edit?usp=sharing"",""แผน!F72"")"),0)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IFERROR(__xludf.DUMMYFUNCTION("IMPORTRANGE(""https://docs.google.com/spreadsheets/d/1eHaY18a8A9IcSdp1K8H6x8fbOy06t2VsZHhMHf-1x7Y/edit?usp=sharing"",""แผน!G72"")"),0)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IFERROR(__xludf.DUMMYFUNCTION("IMPORTRANGE(""https://docs.google.com/spreadsheets/d/1eHaY18a8A9IcSdp1K8H6x8fbOy06t2VsZHhMHf-1x7Y/edit?usp=sharing"",""แผน!D72"")"),0)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IFERROR(__xludf.DUMMYFUNCTION("IMPORTRANGE(""https://docs.google.com/spreadsheets/d/1eHaY18a8A9IcSdp1K8H6x8fbOy06t2VsZHhMHf-1x7Y/edit?usp=sharing"",""แผน!E72"")"),0)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IFERROR(__xludf.DUMMYFUNCTION("IMPORTRANGE(""https://docs.google.com/spreadsheets/d/1eHaY18a8A9IcSdp1K8H6x8fbOy06t2VsZHhMHf-1x7Y/edit?usp=sharing"",""แผน!J72"")"),0)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IFERROR(__xludf.DUMMYFUNCTION("IMPORTRANGE(""https://docs.google.com/spreadsheets/d/1-uDff_7J0KD5mKrp0Vvzr7lt3OU09vwQwhkpOPPYv2Y/edit?usp=sharing"",""งบพรบ!AW72"")"),0)</f>
        <v>0</v>
      </c>
      <c r="M99" s="427">
        <f ca="1">IFERROR(__xludf.DUMMYFUNCTION("IMPORTRANGE(""https://docs.google.com/spreadsheets/d/1-uDff_7J0KD5mKrp0Vvzr7lt3OU09vwQwhkpOPPYv2Y/edit?usp=sharing"",""งบพรบ!BB72"")"),0)</f>
        <v>0</v>
      </c>
      <c r="N99" s="427">
        <f ca="1">IFERROR(__xludf.DUMMYFUNCTION("IMPORTRANGE(""https://docs.google.com/spreadsheets/d/1-uDff_7J0KD5mKrp0Vvzr7lt3OU09vwQwhkpOPPYv2Y/edit?usp=sharing"",""งบพรบ!BD72"")"),0)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IFERROR(__xludf.DUMMYFUNCTION("IMPORTRANGE(""https://docs.google.com/spreadsheets/d/1-uDff_7J0KD5mKrp0Vvzr7lt3OU09vwQwhkpOPPYv2Y/edit?usp=sharing"",""งบพรบ!AZ72"")"),0)</f>
        <v>0</v>
      </c>
      <c r="M102" s="427">
        <f ca="1">IFERROR(__xludf.DUMMYFUNCTION("IMPORTRANGE(""https://docs.google.com/spreadsheets/d/1-uDff_7J0KD5mKrp0Vvzr7lt3OU09vwQwhkpOPPYv2Y/edit?usp=sharing"",""งบพรบ!BC72"")"),0)</f>
        <v>0</v>
      </c>
      <c r="N102" s="427">
        <f ca="1">IFERROR(__xludf.DUMMYFUNCTION("IMPORTRANGE(""https://docs.google.com/spreadsheets/d/1-uDff_7J0KD5mKrp0Vvzr7lt3OU09vwQwhkpOPPYv2Y/edit?usp=sharing"",""งบพรบ!BE72"")"),0)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IFERROR(__xludf.DUMMYFUNCTION("IMPORTRANGE(""https://docs.google.com/spreadsheets/d/1eHaY18a8A9IcSdp1K8H6x8fbOy06t2VsZHhMHf-1x7Y/edit?usp=sharing"",""แผน!N72"")"),0)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IFERROR(__xludf.DUMMYFUNCTION("IMPORTRANGE(""https://docs.google.com/spreadsheets/d/1eHaY18a8A9IcSdp1K8H6x8fbOy06t2VsZHhMHf-1x7Y/edit?usp=sharing"",""แผน!O72"")"),0)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IFERROR(__xludf.DUMMYFUNCTION("IMPORTRANGE(""https://docs.google.com/spreadsheets/d/1eHaY18a8A9IcSdp1K8H6x8fbOy06t2VsZHhMHf-1x7Y/edit?usp=sharing"",""แผน!R72"")"),0)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IFERROR(__xludf.DUMMYFUNCTION("IMPORTRANGE(""https://docs.google.com/spreadsheets/d/1-uDff_7J0KD5mKrp0Vvzr7lt3OU09vwQwhkpOPPYv2Y/edit?usp=sharing"",""งบพรบ!BG72"")"),0)</f>
        <v>0</v>
      </c>
      <c r="M130" s="886">
        <f ca="1">IFERROR(__xludf.DUMMYFUNCTION("IMPORTRANGE(""https://docs.google.com/spreadsheets/d/1-uDff_7J0KD5mKrp0Vvzr7lt3OU09vwQwhkpOPPYv2Y/edit?usp=sharing"",""งบพรบ!BL72"")"),0)</f>
        <v>0</v>
      </c>
      <c r="N130" s="886">
        <f ca="1">IFERROR(__xludf.DUMMYFUNCTION("IMPORTRANGE(""https://docs.google.com/spreadsheets/d/1-uDff_7J0KD5mKrp0Vvzr7lt3OU09vwQwhkpOPPYv2Y/edit?usp=sharing"",""งบพรบ!BN72"")"),0)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IFERROR(__xludf.DUMMYFUNCTION("IMPORTRANGE(""https://docs.google.com/spreadsheets/d/1-uDff_7J0KD5mKrp0Vvzr7lt3OU09vwQwhkpOPPYv2Y/edit?usp=sharing"",""งบพรบ!BJ72"")"),0)</f>
        <v>0</v>
      </c>
      <c r="M133" s="886">
        <f ca="1">IFERROR(__xludf.DUMMYFUNCTION("IMPORTRANGE(""https://docs.google.com/spreadsheets/d/1-uDff_7J0KD5mKrp0Vvzr7lt3OU09vwQwhkpOPPYv2Y/edit?usp=sharing"",""งบพรบ!BM72"")"),0)</f>
        <v>0</v>
      </c>
      <c r="N133" s="886">
        <f ca="1">IFERROR(__xludf.DUMMYFUNCTION("IMPORTRANGE(""https://docs.google.com/spreadsheets/d/1-uDff_7J0KD5mKrp0Vvzr7lt3OU09vwQwhkpOPPYv2Y/edit?usp=sharing"",""งบพรบ!BO72"")"),0)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IFERROR(__xludf.DUMMYFUNCTION("IMPORTRANGE(""https://docs.google.com/spreadsheets/d/1-uDff_7J0KD5mKrp0Vvzr7lt3OU09vwQwhkpOPPYv2Y/edit?usp=sharing"",""งบพรบ!BQ72"")"),0)</f>
        <v>0</v>
      </c>
      <c r="M144" s="427">
        <f ca="1">IFERROR(__xludf.DUMMYFUNCTION("IMPORTRANGE(""https://docs.google.com/spreadsheets/d/1-uDff_7J0KD5mKrp0Vvzr7lt3OU09vwQwhkpOPPYv2Y/edit?usp=sharing"",""งบพรบ!BV72"")"),0)</f>
        <v>0</v>
      </c>
      <c r="N144" s="427">
        <f ca="1">IFERROR(__xludf.DUMMYFUNCTION("IMPORTRANGE(""https://docs.google.com/spreadsheets/d/1-uDff_7J0KD5mKrp0Vvzr7lt3OU09vwQwhkpOPPYv2Y/edit?usp=sharing"",""งบพรบ!BX72"")"),0)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IFERROR(__xludf.DUMMYFUNCTION("IMPORTRANGE(""https://docs.google.com/spreadsheets/d/1-uDff_7J0KD5mKrp0Vvzr7lt3OU09vwQwhkpOPPYv2Y/edit?usp=sharing"",""งบพรบ!BT72"")"),0)</f>
        <v>0</v>
      </c>
      <c r="M147" s="427">
        <f ca="1">IFERROR(__xludf.DUMMYFUNCTION("IMPORTRANGE(""https://docs.google.com/spreadsheets/d/1-uDff_7J0KD5mKrp0Vvzr7lt3OU09vwQwhkpOPPYv2Y/edit?usp=sharing"",""งบพรบ!BW72"")"),0)</f>
        <v>0</v>
      </c>
      <c r="N147" s="427">
        <f ca="1">IFERROR(__xludf.DUMMYFUNCTION("IMPORTRANGE(""https://docs.google.com/spreadsheets/d/1-uDff_7J0KD5mKrp0Vvzr7lt3OU09vwQwhkpOPPYv2Y/edit?usp=sharing"",""งบพรบ!BY72"")"),0)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IFERROR(__xludf.DUMMYFUNCTION("IMPORTRANGE(""https://docs.google.com/spreadsheets/d/1eHaY18a8A9IcSdp1K8H6x8fbOy06t2VsZHhMHf-1x7Y/edit?usp=sharing"",""แผน!U72"")"),0)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IFERROR(__xludf.DUMMYFUNCTION("IMPORTRANGE(""https://docs.google.com/spreadsheets/d/1eHaY18a8A9IcSdp1K8H6x8fbOy06t2VsZHhMHf-1x7Y/edit?usp=sharing"",""แผน!V72"")"),0)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IFERROR(__xludf.DUMMYFUNCTION("IMPORTRANGE(""https://docs.google.com/spreadsheets/d/1eHaY18a8A9IcSdp1K8H6x8fbOy06t2VsZHhMHf-1x7Y/edit?usp=sharing"",""แผน!W72"")"),0)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IFERROR(__xludf.DUMMYFUNCTION("IMPORTRANGE(""https://docs.google.com/spreadsheets/d/1eHaY18a8A9IcSdp1K8H6x8fbOy06t2VsZHhMHf-1x7Y/edit?usp=sharing"",""แผน!X72"")"),0)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IFERROR(__xludf.DUMMYFUNCTION("IMPORTRANGE(""https://docs.google.com/spreadsheets/d/1eHaY18a8A9IcSdp1K8H6x8fbOy06t2VsZHhMHf-1x7Y/edit?usp=sharing"",""แผน!Y72"")"),0)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I167</f>
        <v>10</v>
      </c>
      <c r="J156" s="866">
        <f>J167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3000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3000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3000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IFERROR(__xludf.DUMMYFUNCTION("IMPORTRANGE(""https://docs.google.com/spreadsheets/d/1-uDff_7J0KD5mKrp0Vvzr7lt3OU09vwQwhkpOPPYv2Y/edit?usp=sharing"",""งบพรบ!CA72"")"),3000)</f>
        <v>3000</v>
      </c>
      <c r="M162" s="427">
        <f ca="1">IFERROR(__xludf.DUMMYFUNCTION("IMPORTRANGE(""https://docs.google.com/spreadsheets/d/1-uDff_7J0KD5mKrp0Vvzr7lt3OU09vwQwhkpOPPYv2Y/edit?usp=sharing"",""งบพรบ!CF72"")"),0)</f>
        <v>0</v>
      </c>
      <c r="N162" s="427">
        <f ca="1">IFERROR(__xludf.DUMMYFUNCTION("IMPORTRANGE(""https://docs.google.com/spreadsheets/d/1-uDff_7J0KD5mKrp0Vvzr7lt3OU09vwQwhkpOPPYv2Y/edit?usp=sharing"",""งบพรบ!CH72"")"),0)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IFERROR(__xludf.DUMMYFUNCTION("IMPORTRANGE(""https://docs.google.com/spreadsheets/d/1-uDff_7J0KD5mKrp0Vvzr7lt3OU09vwQwhkpOPPYv2Y/edit?usp=sharing"",""งบพรบ!CD72"")"),0)</f>
        <v>0</v>
      </c>
      <c r="M165" s="427">
        <f ca="1">IFERROR(__xludf.DUMMYFUNCTION("IMPORTRANGE(""https://docs.google.com/spreadsheets/d/1-uDff_7J0KD5mKrp0Vvzr7lt3OU09vwQwhkpOPPYv2Y/edit?usp=sharing"",""งบพรบ!CG72"")"),0)</f>
        <v>0</v>
      </c>
      <c r="N165" s="427">
        <f ca="1">IFERROR(__xludf.DUMMYFUNCTION("IMPORTRANGE(""https://docs.google.com/spreadsheets/d/1-uDff_7J0KD5mKrp0Vvzr7lt3OU09vwQwhkpOPPYv2Y/edit?usp=sharing"",""งบพรบ!CI72"")"),0)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IFERROR(__xludf.DUMMYFUNCTION("IMPORTRANGE(""https://docs.google.com/spreadsheets/d/1eHaY18a8A9IcSdp1K8H6x8fbOy06t2VsZHhMHf-1x7Y/edit?usp=sharing"",""แผน!Z72"")"),10)</f>
        <v>10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I167</f>
        <v>10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I167</f>
        <v>10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0</v>
      </c>
      <c r="K172" s="850">
        <f ca="1">IF(I172&gt;0,J172*100/I172,0)</f>
        <v>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IFERROR(__xludf.DUMMYFUNCTION("IMPORTRANGE(""https://docs.google.com/spreadsheets/d/1-uDff_7J0KD5mKrp0Vvzr7lt3OU09vwQwhkpOPPYv2Y/edit?usp=sharing"",""งบพรบ!CK72"")"),19590)</f>
        <v>19590</v>
      </c>
      <c r="M178" s="427">
        <f ca="1">IFERROR(__xludf.DUMMYFUNCTION("IMPORTRANGE(""https://docs.google.com/spreadsheets/d/1-uDff_7J0KD5mKrp0Vvzr7lt3OU09vwQwhkpOPPYv2Y/edit?usp=sharing"",""งบพรบ!CP72"")"),19590)</f>
        <v>19590</v>
      </c>
      <c r="N178" s="427">
        <f ca="1">IFERROR(__xludf.DUMMYFUNCTION("IMPORTRANGE(""https://docs.google.com/spreadsheets/d/1-uDff_7J0KD5mKrp0Vvzr7lt3OU09vwQwhkpOPPYv2Y/edit?usp=sharing"",""งบพรบ!CR72"")"),0)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IFERROR(__xludf.DUMMYFUNCTION("IMPORTRANGE(""https://docs.google.com/spreadsheets/d/1-uDff_7J0KD5mKrp0Vvzr7lt3OU09vwQwhkpOPPYv2Y/edit?usp=sharing"",""งบพรบ!CN72"")"),0)</f>
        <v>0</v>
      </c>
      <c r="M181" s="427">
        <f ca="1">IFERROR(__xludf.DUMMYFUNCTION("IMPORTRANGE(""https://docs.google.com/spreadsheets/d/1-uDff_7J0KD5mKrp0Vvzr7lt3OU09vwQwhkpOPPYv2Y/edit?usp=sharing"",""งบพรบ!CQ72"")"),0)</f>
        <v>0</v>
      </c>
      <c r="N181" s="427">
        <f ca="1">IFERROR(__xludf.DUMMYFUNCTION("IMPORTRANGE(""https://docs.google.com/spreadsheets/d/1-uDff_7J0KD5mKrp0Vvzr7lt3OU09vwQwhkpOPPYv2Y/edit?usp=sharing"",""งบพรบ!CS72"")"),0)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IFERROR(__xludf.DUMMYFUNCTION("IMPORTRANGE(""https://docs.google.com/spreadsheets/d/1eHaY18a8A9IcSdp1K8H6x8fbOy06t2VsZHhMHf-1x7Y/edit?usp=sharing"",""แผน!AA72"")"),7)</f>
        <v>7</v>
      </c>
      <c r="J183" s="758">
        <v>0</v>
      </c>
      <c r="K183" s="427">
        <f ca="1">IF(I183&gt;0,J183*100/I183,0)</f>
        <v>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23500</v>
      </c>
      <c r="M186" s="737">
        <f ca="1">M187+M188</f>
        <v>13500</v>
      </c>
      <c r="N186" s="737">
        <f ca="1">N187+N188</f>
        <v>0</v>
      </c>
      <c r="O186" s="737">
        <f ca="1">IF(L186&gt;0,N186*100/L186,0)</f>
        <v>0</v>
      </c>
      <c r="P186" s="737">
        <f ca="1">IF(M186&gt;0,N186*100/M186,0)</f>
        <v>0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23500</v>
      </c>
      <c r="M188" s="427">
        <f ca="1">M191+M194</f>
        <v>13500</v>
      </c>
      <c r="N188" s="427">
        <f ca="1">N191+N194</f>
        <v>0</v>
      </c>
      <c r="O188" s="427">
        <f ca="1">IF(L188&gt;0,N188*100/L188,0)</f>
        <v>0</v>
      </c>
      <c r="P188" s="427">
        <f ca="1">IF(M188&gt;0,N188*100/M188,0)</f>
        <v>0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23500</v>
      </c>
      <c r="M189" s="427">
        <f ca="1">M190+M191</f>
        <v>13500</v>
      </c>
      <c r="N189" s="427">
        <f ca="1">N190+N191</f>
        <v>0</v>
      </c>
      <c r="O189" s="427">
        <f ca="1">IF(L189&gt;0,N189*100/L189,0)</f>
        <v>0</v>
      </c>
      <c r="P189" s="427">
        <f ca="1">IF(M189&gt;0,N189*100/M189,0)</f>
        <v>0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IFERROR(__xludf.DUMMYFUNCTION("IMPORTRANGE(""https://docs.google.com/spreadsheets/d/1-uDff_7J0KD5mKrp0Vvzr7lt3OU09vwQwhkpOPPYv2Y/edit?usp=sharing"",""งบพรบ!CU72"")"),23500)</f>
        <v>23500</v>
      </c>
      <c r="M191" s="427">
        <f ca="1">IFERROR(__xludf.DUMMYFUNCTION("IMPORTRANGE(""https://docs.google.com/spreadsheets/d/1-uDff_7J0KD5mKrp0Vvzr7lt3OU09vwQwhkpOPPYv2Y/edit?usp=sharing"",""งบพรบ!CZ72"")"),13500)</f>
        <v>13500</v>
      </c>
      <c r="N191" s="427">
        <f ca="1">IFERROR(__xludf.DUMMYFUNCTION("IMPORTRANGE(""https://docs.google.com/spreadsheets/d/1-uDff_7J0KD5mKrp0Vvzr7lt3OU09vwQwhkpOPPYv2Y/edit?usp=sharing"",""งบพรบ!DB72"")"),0)</f>
        <v>0</v>
      </c>
      <c r="O191" s="427">
        <f ca="1">IF(L191&gt;0,N191*100/L191,0)</f>
        <v>0</v>
      </c>
      <c r="P191" s="427">
        <f ca="1">IF(M191&gt;0,N191*100/M191,0)</f>
        <v>0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IFERROR(__xludf.DUMMYFUNCTION("IMPORTRANGE(""https://docs.google.com/spreadsheets/d/1-uDff_7J0KD5mKrp0Vvzr7lt3OU09vwQwhkpOPPYv2Y/edit?usp=sharing"",""งบพรบ!CX72"")"),0)</f>
        <v>0</v>
      </c>
      <c r="M194" s="427">
        <f ca="1">IFERROR(__xludf.DUMMYFUNCTION("IMPORTRANGE(""https://docs.google.com/spreadsheets/d/1-uDff_7J0KD5mKrp0Vvzr7lt3OU09vwQwhkpOPPYv2Y/edit?usp=sharing"",""งบพรบ!DA72"")"),0)</f>
        <v>0</v>
      </c>
      <c r="N194" s="427">
        <f ca="1">IFERROR(__xludf.DUMMYFUNCTION("IMPORTRANGE(""https://docs.google.com/spreadsheets/d/1-uDff_7J0KD5mKrp0Vvzr7lt3OU09vwQwhkpOPPYv2Y/edit?usp=sharing"",""งบพรบ!DC72"")"),0)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0</v>
      </c>
      <c r="K195" s="441">
        <f ca="1">IF(I195&gt;0,J195*100/I195,0)</f>
        <v>0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IFERROR(__xludf.DUMMYFUNCTION("IMPORTRANGE(""https://docs.google.com/spreadsheets/d/1eHaY18a8A9IcSdp1K8H6x8fbOy06t2VsZHhMHf-1x7Y/edit?usp=sharing"",""แผน!AB72"")"),6000)</f>
        <v>6000</v>
      </c>
      <c r="M196" s="430"/>
      <c r="N196" s="849">
        <v>0</v>
      </c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IFERROR(__xludf.DUMMYFUNCTION("IMPORTRANGE(""https://docs.google.com/spreadsheets/d/1eHaY18a8A9IcSdp1K8H6x8fbOy06t2VsZHhMHf-1x7Y/edit?usp=sharing"",""แผน!AE72"")"),4)</f>
        <v>4</v>
      </c>
      <c r="J198" s="758">
        <v>0</v>
      </c>
      <c r="K198" s="427">
        <f ca="1">IF(I198&gt;0,J198*100/I198,0)</f>
        <v>0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1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13000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x14ac:dyDescent="0.25">
      <c r="A204" s="706"/>
      <c r="B204" s="421"/>
      <c r="C204" s="420"/>
      <c r="D204" s="294" t="s">
        <v>152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IFERROR(__xludf.DUMMYFUNCTION("IMPORTRANGE(""https://docs.google.com/spreadsheets/d/1eHaY18a8A9IcSdp1K8H6x8fbOy06t2VsZHhMHf-1x7Y/edit?usp=sharing"",""แผน!AG72"")"),1000)</f>
        <v>1000</v>
      </c>
      <c r="M204" s="430"/>
      <c r="N204" s="840">
        <v>0</v>
      </c>
      <c r="O204" s="700"/>
      <c r="P204" s="430"/>
    </row>
    <row r="205" spans="1:16" ht="18.75" x14ac:dyDescent="0.25">
      <c r="A205" s="419"/>
      <c r="B205" s="421"/>
      <c r="C205" s="420"/>
      <c r="D205" s="295" t="s">
        <v>81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IFERROR(__xludf.DUMMYFUNCTION("IMPORTRANGE(""https://docs.google.com/spreadsheets/d/1eHaY18a8A9IcSdp1K8H6x8fbOy06t2VsZHhMHf-1x7Y/edit?usp=sharing"",""แผน!AH72"")"),0)</f>
        <v>0</v>
      </c>
      <c r="M205" s="430"/>
      <c r="N205" s="840">
        <v>0</v>
      </c>
      <c r="O205" s="700"/>
      <c r="P205" s="430"/>
    </row>
    <row r="206" spans="1:16" ht="18.75" x14ac:dyDescent="0.25">
      <c r="A206" s="419"/>
      <c r="B206" s="421"/>
      <c r="C206" s="420"/>
      <c r="D206" s="295" t="s">
        <v>82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IFERROR(__xludf.DUMMYFUNCTION("IMPORTRANGE(""https://docs.google.com/spreadsheets/d/1eHaY18a8A9IcSdp1K8H6x8fbOy06t2VsZHhMHf-1x7Y/edit?usp=sharing"",""แผน!AI72"")"),8000)</f>
        <v>8000</v>
      </c>
      <c r="M206" s="430"/>
      <c r="N206" s="840">
        <v>0</v>
      </c>
      <c r="O206" s="700"/>
      <c r="P206" s="430"/>
    </row>
    <row r="207" spans="1:16" ht="18.75" x14ac:dyDescent="0.25">
      <c r="A207" s="419"/>
      <c r="B207" s="421"/>
      <c r="C207" s="420"/>
      <c r="D207" s="295" t="s">
        <v>83</v>
      </c>
      <c r="E207" s="420"/>
      <c r="F207" s="420"/>
      <c r="G207" s="424"/>
      <c r="H207" s="847" t="s">
        <v>12</v>
      </c>
      <c r="I207" s="429"/>
      <c r="J207" s="429"/>
      <c r="K207" s="430"/>
      <c r="L207" s="427">
        <f ca="1">IFERROR(__xludf.DUMMYFUNCTION("IMPORTRANGE(""https://docs.google.com/spreadsheets/d/1eHaY18a8A9IcSdp1K8H6x8fbOy06t2VsZHhMHf-1x7Y/edit?usp=sharing"",""แผน!AJ72"")"),4000)</f>
        <v>4000</v>
      </c>
      <c r="M207" s="430"/>
      <c r="N207" s="840">
        <v>0</v>
      </c>
      <c r="O207" s="700"/>
      <c r="P207" s="430"/>
    </row>
    <row r="208" spans="1:16" ht="19.5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IFERROR(__xludf.DUMMYFUNCTION("IMPORTRANGE(""https://docs.google.com/spreadsheets/d/1eHaY18a8A9IcSdp1K8H6x8fbOy06t2VsZHhMHf-1x7Y/edit?usp=sharing"",""แผน!AK72"")"),1)</f>
        <v>1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IFERROR(__xludf.DUMMYFUNCTION("IMPORTRANGE(""https://docs.google.com/spreadsheets/d/1eHaY18a8A9IcSdp1K8H6x8fbOy06t2VsZHhMHf-1x7Y/edit?usp=sharing"",""แผน!JX72"")"),1)</f>
        <v>1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IFERROR(__xludf.DUMMYFUNCTION("IMPORTRANGE(""https://docs.google.com/spreadsheets/d/1eHaY18a8A9IcSdp1K8H6x8fbOy06t2VsZHhMHf-1x7Y/edit?usp=sharing"",""แผน!JY72"")"),0)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IFERROR(__xludf.DUMMYFUNCTION("IMPORTRANGE(""https://docs.google.com/spreadsheets/d/1eHaY18a8A9IcSdp1K8H6x8fbOy06t2VsZHhMHf-1x7Y/edit?usp=sharing"",""แผน!AM72"")"),0)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IFERROR(__xludf.DUMMYFUNCTION("IMPORTRANGE(""https://docs.google.com/spreadsheets/d/1eHaY18a8A9IcSdp1K8H6x8fbOy06t2VsZHhMHf-1x7Y/edit?usp=sharing"",""แผน!AN72"")"),0)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IFERROR(__xludf.DUMMYFUNCTION("IMPORTRANGE(""https://docs.google.com/spreadsheets/d/1eHaY18a8A9IcSdp1K8H6x8fbOy06t2VsZHhMHf-1x7Y/edit?usp=sharing"",""แผน!AO72"")"),0)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IFERROR(__xludf.DUMMYFUNCTION("IMPORTRANGE(""https://docs.google.com/spreadsheets/d/1eHaY18a8A9IcSdp1K8H6x8fbOy06t2VsZHhMHf-1x7Y/edit?usp=sharing"",""แผน!AP72"")"),0)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IFERROR(__xludf.DUMMYFUNCTION("IMPORTRANGE(""https://docs.google.com/spreadsheets/d/1eHaY18a8A9IcSdp1K8H6x8fbOy06t2VsZHhMHf-1x7Y/edit?usp=sharing"",""แผน!AP72"")"),0)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20000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IFERROR(__xludf.DUMMYFUNCTION("IMPORTRANGE(""https://docs.google.com/spreadsheets/d/1eHaY18a8A9IcSdp1K8H6x8fbOy06t2VsZHhMHf-1x7Y/edit?usp=sharing"",""แผน!AR72"")"),3000)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IFERROR(__xludf.DUMMYFUNCTION("IMPORTRANGE(""https://docs.google.com/spreadsheets/d/1eHaY18a8A9IcSdp1K8H6x8fbOy06t2VsZHhMHf-1x7Y/edit?usp=sharing"",""แผน!AS72"")"),1500)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IFERROR(__xludf.DUMMYFUNCTION("IMPORTRANGE(""https://docs.google.com/spreadsheets/d/1eHaY18a8A9IcSdp1K8H6x8fbOy06t2VsZHhMHf-1x7Y/edit?usp=sharing"",""แผน!AT72"")"),0)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IFERROR(__xludf.DUMMYFUNCTION("IMPORTRANGE(""https://docs.google.com/spreadsheets/d/1eHaY18a8A9IcSdp1K8H6x8fbOy06t2VsZHhMHf-1x7Y/edit?usp=sharing"",""แผน!AV72"")"),20000)</f>
        <v>20000</v>
      </c>
      <c r="J228" s="758">
        <v>0</v>
      </c>
      <c r="K228" s="789">
        <f ca="1">IF(I228&gt;0,J228*100/I228,0)</f>
        <v>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IFERROR(__xludf.DUMMYFUNCTION("IMPORTRANGE(""https://docs.google.com/spreadsheets/d/1eHaY18a8A9IcSdp1K8H6x8fbOy06t2VsZHhMHf-1x7Y/edit?usp=sharing"",""แผน!AV72"")"),20000)</f>
        <v>20000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IFERROR(__xludf.DUMMYFUNCTION("IMPORTRANGE(""https://docs.google.com/spreadsheets/d/1eHaY18a8A9IcSdp1K8H6x8fbOy06t2VsZHhMHf-1x7Y/edit?usp=sharing"",""แผน!AU72"")"),0)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IFERROR(__xludf.DUMMYFUNCTION("IMPORTRANGE(""https://docs.google.com/spreadsheets/d/1eHaY18a8A9IcSdp1K8H6x8fbOy06t2VsZHhMHf-1x7Y/edit?usp=sharing"",""แผน!AX72"")"),0)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IFERROR(__xludf.DUMMYFUNCTION("IMPORTRANGE(""https://docs.google.com/spreadsheets/d/1eHaY18a8A9IcSdp1K8H6x8fbOy06t2VsZHhMHf-1x7Y/edit?usp=sharing"",""แผน!AY72"")"),0)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IFERROR(__xludf.DUMMYFUNCTION("IMPORTRANGE(""https://docs.google.com/spreadsheets/d/1eHaY18a8A9IcSdp1K8H6x8fbOy06t2VsZHhMHf-1x7Y/edit?usp=sharing"",""แผน!AZ72"")"),0)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IFERROR(__xludf.DUMMYFUNCTION("IMPORTRANGE(""https://docs.google.com/spreadsheets/d/1eHaY18a8A9IcSdp1K8H6x8fbOy06t2VsZHhMHf-1x7Y/edit?usp=sharing"",""แผน!BA72"")"),0)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IFERROR(__xludf.DUMMYFUNCTION("IMPORTRANGE(""https://docs.google.com/spreadsheets/d/1eHaY18a8A9IcSdp1K8H6x8fbOy06t2VsZHhMHf-1x7Y/edit?usp=sharing"",""แผน!BG72"")"),0)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IFERROR(__xludf.DUMMYFUNCTION("IMPORTRANGE(""https://docs.google.com/spreadsheets/d/1eHaY18a8A9IcSdp1K8H6x8fbOy06t2VsZHhMHf-1x7Y/edit?usp=sharing"",""แผน!BB72"")"),0)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IFERROR(__xludf.DUMMYFUNCTION("IMPORTRANGE(""https://docs.google.com/spreadsheets/d/1eHaY18a8A9IcSdp1K8H6x8fbOy06t2VsZHhMHf-1x7Y/edit?usp=sharing"",""แผน!BC72"")"),0)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IFERROR(__xludf.DUMMYFUNCTION("IMPORTRANGE(""https://docs.google.com/spreadsheets/d/1eHaY18a8A9IcSdp1K8H6x8fbOy06t2VsZHhMHf-1x7Y/edit?usp=sharing"",""แผน!BD72"")"),0)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IFERROR(__xludf.DUMMYFUNCTION("IMPORTRANGE(""https://docs.google.com/spreadsheets/d/1eHaY18a8A9IcSdp1K8H6x8fbOy06t2VsZHhMHf-1x7Y/edit?usp=sharing"",""แผน!BE72"")"),0)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IFERROR(__xludf.DUMMYFUNCTION("IMPORTRANGE(""https://docs.google.com/spreadsheets/d/1eHaY18a8A9IcSdp1K8H6x8fbOy06t2VsZHhMHf-1x7Y/edit?usp=sharing"",""แผน!BH72"")"),0)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IFERROR(__xludf.DUMMYFUNCTION("IMPORTRANGE(""https://docs.google.com/spreadsheets/d/1-uDff_7J0KD5mKrp0Vvzr7lt3OU09vwQwhkpOPPYv2Y/edit?usp=sharing"",""งบพรบ!DE72"")"),0)</f>
        <v>0</v>
      </c>
      <c r="M271" s="522">
        <f ca="1">IFERROR(__xludf.DUMMYFUNCTION("IMPORTRANGE(""https://docs.google.com/spreadsheets/d/1-uDff_7J0KD5mKrp0Vvzr7lt3OU09vwQwhkpOPPYv2Y/edit?usp=sharing"",""งบพรบ!DJ72"")"),0)</f>
        <v>0</v>
      </c>
      <c r="N271" s="522">
        <f ca="1">IFERROR(__xludf.DUMMYFUNCTION("IMPORTRANGE(""https://docs.google.com/spreadsheets/d/1-uDff_7J0KD5mKrp0Vvzr7lt3OU09vwQwhkpOPPYv2Y/edit?usp=sharing"",""งบพรบ!DL72"")"),0)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IFERROR(__xludf.DUMMYFUNCTION("IMPORTRANGE(""https://docs.google.com/spreadsheets/d/1-uDff_7J0KD5mKrp0Vvzr7lt3OU09vwQwhkpOPPYv2Y/edit?usp=sharing"",""งบพรบ!DH72"")"),0)</f>
        <v>0</v>
      </c>
      <c r="M274" s="522">
        <f ca="1">IFERROR(__xludf.DUMMYFUNCTION("IMPORTRANGE(""https://docs.google.com/spreadsheets/d/1-uDff_7J0KD5mKrp0Vvzr7lt3OU09vwQwhkpOPPYv2Y/edit?usp=sharing"",""งบพรบ!DK72"")"),0)</f>
        <v>0</v>
      </c>
      <c r="N274" s="522">
        <f ca="1">IFERROR(__xludf.DUMMYFUNCTION("IMPORTRANGE(""https://docs.google.com/spreadsheets/d/1-uDff_7J0KD5mKrp0Vvzr7lt3OU09vwQwhkpOPPYv2Y/edit?usp=sharing"",""งบพรบ!DM72"")"),0)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10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100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137720</v>
      </c>
      <c r="M282" s="737">
        <f ca="1">M283+M284</f>
        <v>102980</v>
      </c>
      <c r="N282" s="737">
        <f ca="1">N283+N284</f>
        <v>33500</v>
      </c>
      <c r="O282" s="737">
        <f ca="1">IF(L282&gt;0,N282*100/L282,0)</f>
        <v>24.324716816729595</v>
      </c>
      <c r="P282" s="737">
        <f ca="1">IF(M282&gt;0,N282*100/M282,0)</f>
        <v>32.530588463779374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137720</v>
      </c>
      <c r="M284" s="427">
        <f ca="1">M287+M290</f>
        <v>102980</v>
      </c>
      <c r="N284" s="427">
        <f ca="1">N287+N290</f>
        <v>33500</v>
      </c>
      <c r="O284" s="427">
        <f ca="1">IF(L284&gt;0,N284*100/L284,0)</f>
        <v>24.324716816729595</v>
      </c>
      <c r="P284" s="427">
        <f ca="1">IF(M284&gt;0,N284*100/M284,0)</f>
        <v>32.530588463779374</v>
      </c>
    </row>
    <row r="285" spans="1:16" ht="18.75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137720</v>
      </c>
      <c r="M285" s="427">
        <f ca="1">M286+M287</f>
        <v>102980</v>
      </c>
      <c r="N285" s="427">
        <f ca="1">N286+N287</f>
        <v>33500</v>
      </c>
      <c r="O285" s="427">
        <f ca="1">IF(L285&gt;0,N285*100/L285,0)</f>
        <v>24.324716816729595</v>
      </c>
      <c r="P285" s="427">
        <f ca="1">IF(M285&gt;0,N285*100/M285,0)</f>
        <v>32.530588463779374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IFERROR(__xludf.DUMMYFUNCTION("IMPORTRANGE(""https://docs.google.com/spreadsheets/d/1-uDff_7J0KD5mKrp0Vvzr7lt3OU09vwQwhkpOPPYv2Y/edit?usp=sharing"",""งบพรบ!DO72"")"),137720)</f>
        <v>137720</v>
      </c>
      <c r="M287" s="427">
        <f ca="1">IFERROR(__xludf.DUMMYFUNCTION("IMPORTRANGE(""https://docs.google.com/spreadsheets/d/1-uDff_7J0KD5mKrp0Vvzr7lt3OU09vwQwhkpOPPYv2Y/edit?usp=sharing"",""งบพรบ!DT72"")"),102980)</f>
        <v>102980</v>
      </c>
      <c r="N287" s="427">
        <f ca="1">IFERROR(__xludf.DUMMYFUNCTION("IMPORTRANGE(""https://docs.google.com/spreadsheets/d/1-uDff_7J0KD5mKrp0Vvzr7lt3OU09vwQwhkpOPPYv2Y/edit?usp=sharing"",""งบพรบ!DV72"")"),33500)</f>
        <v>33500</v>
      </c>
      <c r="O287" s="427">
        <f ca="1">IF(L287&gt;0,N287*100/L287,0)</f>
        <v>24.324716816729595</v>
      </c>
      <c r="P287" s="427">
        <f ca="1">IF(M287&gt;0,N287*100/M287,0)</f>
        <v>32.530588463779374</v>
      </c>
    </row>
    <row r="288" spans="1:16" ht="18.75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IFERROR(__xludf.DUMMYFUNCTION("IMPORTRANGE(""https://docs.google.com/spreadsheets/d/1-uDff_7J0KD5mKrp0Vvzr7lt3OU09vwQwhkpOPPYv2Y/edit?usp=sharing"",""งบพรบ!DR72"")"),0)</f>
        <v>0</v>
      </c>
      <c r="M290" s="427">
        <f ca="1">IFERROR(__xludf.DUMMYFUNCTION("IMPORTRANGE(""https://docs.google.com/spreadsheets/d/1-uDff_7J0KD5mKrp0Vvzr7lt3OU09vwQwhkpOPPYv2Y/edit?usp=sharing"",""งบพรบ!DU72"")"),0)</f>
        <v>0</v>
      </c>
      <c r="N290" s="427">
        <f ca="1">IFERROR(__xludf.DUMMYFUNCTION("IMPORTRANGE(""https://docs.google.com/spreadsheets/d/1-uDff_7J0KD5mKrp0Vvzr7lt3OU09vwQwhkpOPPYv2Y/edit?usp=sharing"",""งบพรบ!DW72"")"),0)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IFERROR(__xludf.DUMMYFUNCTION("IMPORTRANGE(""https://docs.google.com/spreadsheets/d/1eHaY18a8A9IcSdp1K8H6x8fbOy06t2VsZHhMHf-1x7Y/edit?usp=sharing"",""แผน!EE72"")"),100)</f>
        <v>100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IFERROR(__xludf.DUMMYFUNCTION("IMPORTRANGE(""https://docs.google.com/spreadsheets/d/1eHaY18a8A9IcSdp1K8H6x8fbOy06t2VsZHhMHf-1x7Y/edit?usp=sharing"",""แผน!ED72"")"),10)</f>
        <v>10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IFERROR(__xludf.DUMMYFUNCTION("IMPORTRANGE(""https://docs.google.com/spreadsheets/d/1eHaY18a8A9IcSdp1K8H6x8fbOy06t2VsZHhMHf-1x7Y/edit?usp=sharing"",""แผน!ED72"")"),10)</f>
        <v>10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IFERROR(__xludf.DUMMYFUNCTION("IMPORTRANGE(""https://docs.google.com/spreadsheets/d/1eHaY18a8A9IcSdp1K8H6x8fbOy06t2VsZHhMHf-1x7Y/edit?usp=sharing"",""แผน!ED72"")"),10)</f>
        <v>10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15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217100</v>
      </c>
      <c r="M303" s="737">
        <f ca="1">M304+M305</f>
        <v>159800</v>
      </c>
      <c r="N303" s="737">
        <f ca="1">N304+N305</f>
        <v>33840</v>
      </c>
      <c r="O303" s="737">
        <f ca="1">IF(L303&gt;0,N303*100/L303,0)</f>
        <v>15.587286964532474</v>
      </c>
      <c r="P303" s="737">
        <f ca="1">IF(M303&gt;0,N303*100/M303,0)</f>
        <v>21.176470588235293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217100</v>
      </c>
      <c r="M305" s="427">
        <f ca="1">M308+M311</f>
        <v>159800</v>
      </c>
      <c r="N305" s="427">
        <f ca="1">N308+N311</f>
        <v>33840</v>
      </c>
      <c r="O305" s="427">
        <f ca="1">IF(L305&gt;0,N305*100/L305,0)</f>
        <v>15.587286964532474</v>
      </c>
      <c r="P305" s="427">
        <f ca="1">IF(M305&gt;0,N305*100/M305,0)</f>
        <v>21.176470588235293</v>
      </c>
    </row>
    <row r="306" spans="1:16" ht="18.75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217100</v>
      </c>
      <c r="M306" s="427">
        <f ca="1">M307+M308</f>
        <v>159800</v>
      </c>
      <c r="N306" s="427">
        <f ca="1">N307+N308</f>
        <v>33840</v>
      </c>
      <c r="O306" s="427">
        <f ca="1">IF(L306&gt;0,N306*100/L306,0)</f>
        <v>15.587286964532474</v>
      </c>
      <c r="P306" s="427">
        <f ca="1">IF(M306&gt;0,N306*100/M306,0)</f>
        <v>21.176470588235293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IFERROR(__xludf.DUMMYFUNCTION("IMPORTRANGE(""https://docs.google.com/spreadsheets/d/1-uDff_7J0KD5mKrp0Vvzr7lt3OU09vwQwhkpOPPYv2Y/edit?usp=sharing"",""งบพรบ!DY72"")"),217100)</f>
        <v>217100</v>
      </c>
      <c r="M308" s="427">
        <f ca="1">IFERROR(__xludf.DUMMYFUNCTION("IMPORTRANGE(""https://docs.google.com/spreadsheets/d/1-uDff_7J0KD5mKrp0Vvzr7lt3OU09vwQwhkpOPPYv2Y/edit?usp=sharing"",""งบพรบ!ED72"")"),159800)</f>
        <v>159800</v>
      </c>
      <c r="N308" s="427">
        <f ca="1">IFERROR(__xludf.DUMMYFUNCTION("IMPORTRANGE(""https://docs.google.com/spreadsheets/d/1-uDff_7J0KD5mKrp0Vvzr7lt3OU09vwQwhkpOPPYv2Y/edit?usp=sharing"",""งบพรบ!EF72"")"),33840)</f>
        <v>33840</v>
      </c>
      <c r="O308" s="427">
        <f ca="1">IF(L308&gt;0,N308*100/L308,0)</f>
        <v>15.587286964532474</v>
      </c>
      <c r="P308" s="427">
        <f ca="1">IF(M308&gt;0,N308*100/M308,0)</f>
        <v>21.176470588235293</v>
      </c>
    </row>
    <row r="309" spans="1:16" ht="18.75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IFERROR(__xludf.DUMMYFUNCTION("IMPORTRANGE(""https://docs.google.com/spreadsheets/d/1-uDff_7J0KD5mKrp0Vvzr7lt3OU09vwQwhkpOPPYv2Y/edit?usp=sharing"",""งบพรบ!EB72"")"),0)</f>
        <v>0</v>
      </c>
      <c r="M311" s="427">
        <f ca="1">IFERROR(__xludf.DUMMYFUNCTION("IMPORTRANGE(""https://docs.google.com/spreadsheets/d/1-uDff_7J0KD5mKrp0Vvzr7lt3OU09vwQwhkpOPPYv2Y/edit?usp=sharing"",""งบพรบ!EE72"")"),0)</f>
        <v>0</v>
      </c>
      <c r="N311" s="427">
        <f ca="1">IFERROR(__xludf.DUMMYFUNCTION("IMPORTRANGE(""https://docs.google.com/spreadsheets/d/1-uDff_7J0KD5mKrp0Vvzr7lt3OU09vwQwhkpOPPYv2Y/edit?usp=sharing"",""งบพรบ!EG72"")"),0)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IFERROR(__xludf.DUMMYFUNCTION("IMPORTRANGE(""https://docs.google.com/spreadsheets/d/1eHaY18a8A9IcSdp1K8H6x8fbOy06t2VsZHhMHf-1x7Y/edit?usp=sharing"",""แผน!EF72"")"),15)</f>
        <v>15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IFERROR(__xludf.DUMMYFUNCTION("IMPORTRANGE(""https://docs.google.com/spreadsheets/d/1eHaY18a8A9IcSdp1K8H6x8fbOy06t2VsZHhMHf-1x7Y/edit?usp=sharing"",""แผน!EG72"")"),3)</f>
        <v>3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IFERROR(__xludf.DUMMYFUNCTION("IMPORTRANGE(""https://docs.google.com/spreadsheets/d/1eHaY18a8A9IcSdp1K8H6x8fbOy06t2VsZHhMHf-1x7Y/edit?usp=sharing"",""แผน!EH72"")"),15)</f>
        <v>15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x14ac:dyDescent="0.25">
      <c r="A317" s="276"/>
      <c r="B317" s="280"/>
      <c r="C317" s="280"/>
      <c r="D317" s="336" t="s">
        <v>123</v>
      </c>
      <c r="E317" s="53"/>
      <c r="F317" s="53"/>
      <c r="G317" s="55"/>
      <c r="H317" s="56" t="s">
        <v>33</v>
      </c>
      <c r="I317" s="196">
        <f ca="1">IFERROR(__xludf.DUMMYFUNCTION("IMPORTRANGE(""https://docs.google.com/spreadsheets/d/1eHaY18a8A9IcSdp1K8H6x8fbOy06t2VsZHhMHf-1x7Y/edit?usp=sharing"",""แผน!EI72"")"),3)</f>
        <v>3</v>
      </c>
      <c r="J317" s="196">
        <v>0</v>
      </c>
      <c r="K317" s="61">
        <f ca="1">IF(I317&gt;0,J317*100/I317,0)</f>
        <v>0</v>
      </c>
      <c r="L317" s="58"/>
      <c r="M317" s="58"/>
      <c r="N317" s="58"/>
      <c r="O317" s="58"/>
      <c r="P317" s="58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IFERROR(__xludf.DUMMYFUNCTION("IMPORTRANGE(""https://docs.google.com/spreadsheets/d/1-uDff_7J0KD5mKrp0Vvzr7lt3OU09vwQwhkpOPPYv2Y/edit?usp=sharing"",""งบพรบ!EI72"")"),0)</f>
        <v>0</v>
      </c>
      <c r="M325" s="427">
        <f ca="1">IFERROR(__xludf.DUMMYFUNCTION("IMPORTRANGE(""https://docs.google.com/spreadsheets/d/1-uDff_7J0KD5mKrp0Vvzr7lt3OU09vwQwhkpOPPYv2Y/edit?usp=sharing"",""งบพรบ!EN72"")"),0)</f>
        <v>0</v>
      </c>
      <c r="N325" s="427">
        <f ca="1">IFERROR(__xludf.DUMMYFUNCTION("IMPORTRANGE(""https://docs.google.com/spreadsheets/d/1-uDff_7J0KD5mKrp0Vvzr7lt3OU09vwQwhkpOPPYv2Y/edit?usp=sharing"",""งบพรบ!EP72"")"),0)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IFERROR(__xludf.DUMMYFUNCTION("IMPORTRANGE(""https://docs.google.com/spreadsheets/d/1-uDff_7J0KD5mKrp0Vvzr7lt3OU09vwQwhkpOPPYv2Y/edit?usp=sharing"",""งบพรบ!EL72"")"),0)</f>
        <v>0</v>
      </c>
      <c r="M328" s="427">
        <f ca="1">IFERROR(__xludf.DUMMYFUNCTION("IMPORTRANGE(""https://docs.google.com/spreadsheets/d/1-uDff_7J0KD5mKrp0Vvzr7lt3OU09vwQwhkpOPPYv2Y/edit?usp=sharing"",""งบพรบ!EO72"")"),0)</f>
        <v>0</v>
      </c>
      <c r="N328" s="427">
        <f ca="1">IFERROR(__xludf.DUMMYFUNCTION("IMPORTRANGE(""https://docs.google.com/spreadsheets/d/1-uDff_7J0KD5mKrp0Vvzr7lt3OU09vwQwhkpOPPYv2Y/edit?usp=sharing"",""งบพรบ!EQ72"")"),0)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IFERROR(__xludf.DUMMYFUNCTION("IMPORTRANGE(""https://docs.google.com/spreadsheets/d/1eHaY18a8A9IcSdp1K8H6x8fbOy06t2VsZHhMHf-1x7Y/edit?usp=sharing"",""แผน!EJ72"")"),0)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1540</v>
      </c>
      <c r="J332" s="404">
        <f ca="1">J344+J347+J348+J349+J353</f>
        <v>1499</v>
      </c>
      <c r="K332" s="405">
        <f ca="1">IF(I332&gt;0,J332*100/I332,0)</f>
        <v>97.337662337662337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106000</v>
      </c>
      <c r="M333" s="737">
        <f ca="1">M334+M335</f>
        <v>85750</v>
      </c>
      <c r="N333" s="737">
        <f ca="1">N334+N335</f>
        <v>23560</v>
      </c>
      <c r="O333" s="737">
        <f ca="1">IF(L333&gt;0,N333*100/L333,0)</f>
        <v>22.226415094339622</v>
      </c>
      <c r="P333" s="737">
        <f ca="1">IF(M333&gt;0,N333*100/M333,0)</f>
        <v>27.475218658892128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106000</v>
      </c>
      <c r="M335" s="427">
        <f ca="1">M338+M341</f>
        <v>85750</v>
      </c>
      <c r="N335" s="427">
        <f ca="1">N338+N341</f>
        <v>23560</v>
      </c>
      <c r="O335" s="427">
        <f ca="1">IF(L335&gt;0,N335*100/L335,0)</f>
        <v>22.226415094339622</v>
      </c>
      <c r="P335" s="427">
        <f ca="1">IF(M335&gt;0,N335*100/M335,0)</f>
        <v>27.475218658892128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106000</v>
      </c>
      <c r="M336" s="427">
        <f ca="1">M337+M338</f>
        <v>85750</v>
      </c>
      <c r="N336" s="427">
        <f ca="1">N337+N338</f>
        <v>23560</v>
      </c>
      <c r="O336" s="427">
        <f ca="1">IF(L336&gt;0,N336*100/L336,0)</f>
        <v>22.226415094339622</v>
      </c>
      <c r="P336" s="427">
        <f ca="1">IF(M336&gt;0,N336*100/M336,0)</f>
        <v>27.475218658892128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IFERROR(__xludf.DUMMYFUNCTION("IMPORTRANGE(""https://docs.google.com/spreadsheets/d/1-uDff_7J0KD5mKrp0Vvzr7lt3OU09vwQwhkpOPPYv2Y/edit?usp=sharing"",""งบพรบ!ES72"")"),106000)</f>
        <v>106000</v>
      </c>
      <c r="M338" s="427">
        <f ca="1">IFERROR(__xludf.DUMMYFUNCTION("IMPORTRANGE(""https://docs.google.com/spreadsheets/d/1-uDff_7J0KD5mKrp0Vvzr7lt3OU09vwQwhkpOPPYv2Y/edit?usp=sharing"",""งบพรบ!EX72"")"),85750)</f>
        <v>85750</v>
      </c>
      <c r="N338" s="427">
        <f ca="1">IFERROR(__xludf.DUMMYFUNCTION("IMPORTRANGE(""https://docs.google.com/spreadsheets/d/1-uDff_7J0KD5mKrp0Vvzr7lt3OU09vwQwhkpOPPYv2Y/edit?usp=sharing"",""งบพรบ!EZ72"")"),23560)</f>
        <v>23560</v>
      </c>
      <c r="O338" s="427">
        <f ca="1">IF(L338&gt;0,N338*100/L338,0)</f>
        <v>22.226415094339622</v>
      </c>
      <c r="P338" s="427">
        <f ca="1">IF(M338&gt;0,N338*100/M338,0)</f>
        <v>27.475218658892128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IFERROR(__xludf.DUMMYFUNCTION("IMPORTRANGE(""https://docs.google.com/spreadsheets/d/1-uDff_7J0KD5mKrp0Vvzr7lt3OU09vwQwhkpOPPYv2Y/edit?usp=sharing"",""งบพรบ!EV72"")"),0)</f>
        <v>0</v>
      </c>
      <c r="M341" s="427">
        <f ca="1">IFERROR(__xludf.DUMMYFUNCTION("IMPORTRANGE(""https://docs.google.com/spreadsheets/d/1-uDff_7J0KD5mKrp0Vvzr7lt3OU09vwQwhkpOPPYv2Y/edit?usp=sharing"",""งบพรบ!EY72"")"),0)</f>
        <v>0</v>
      </c>
      <c r="N341" s="427">
        <f ca="1">IFERROR(__xludf.DUMMYFUNCTION("IMPORTRANGE(""https://docs.google.com/spreadsheets/d/1-uDff_7J0KD5mKrp0Vvzr7lt3OU09vwQwhkpOPPYv2Y/edit?usp=sharing"",""งบพรบ!FA72"")"),0)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681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IFERROR(__xludf.DUMMYFUNCTION("IMPORTRANGE(""https://docs.google.com/spreadsheets/d/1eHaY18a8A9IcSdp1K8H6x8fbOy06t2VsZHhMHf-1x7Y/edit?usp=sharing"",""แผน!EK72"")"),1540)</f>
        <v>1540</v>
      </c>
      <c r="J344" s="426">
        <f ca="1">IFERROR(__xludf.DUMMYFUNCTION("IMPORTRANGE(""https://docs.google.com/spreadsheets/d/1awYsYK3VOup2i3Pq_Yjnu8DRu_mYwSBnCR2QPthd0rU/edit?usp=sharing"",""ศูนย์ยกเว้นโฉนด!D72"")"),656)</f>
        <v>656</v>
      </c>
      <c r="K344" s="427">
        <f ca="1">IF(I344&gt;0,J344*100/I344,0)</f>
        <v>42.597402597402599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IFERROR(__xludf.DUMMYFUNCTION("IMPORTRANGE(""https://docs.google.com/spreadsheets/d/1eHaY18a8A9IcSdp1K8H6x8fbOy06t2VsZHhMHf-1x7Y/edit?usp=sharing"",""แผน!EL72"")"),3)</f>
        <v>3</v>
      </c>
      <c r="J346" s="426">
        <f ca="1">IFERROR(__xludf.DUMMYFUNCTION("IMPORTRANGE(""https://docs.google.com/spreadsheets/d/1awYsYK3VOup2i3Pq_Yjnu8DRu_mYwSBnCR2QPthd0rU/edit?usp=sharing"",""ศูนย์รวม!E72"")"),6)</f>
        <v>6</v>
      </c>
      <c r="K346" s="427">
        <f ca="1">IF(I346&gt;0,J346*100/I346,0)</f>
        <v>200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IFERROR(__xludf.DUMMYFUNCTION("IMPORTRANGE(""https://docs.google.com/spreadsheets/d/1awYsYK3VOup2i3Pq_Yjnu8DRu_mYwSBnCR2QPthd0rU/edit?usp=sharing"",""ศูนย์ยกเว้นโฉนด!F72"")"),4)</f>
        <v>4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IFERROR(__xludf.DUMMYFUNCTION("IMPORTRANGE(""https://docs.google.com/spreadsheets/d/1awYsYK3VOup2i3Pq_Yjnu8DRu_mYwSBnCR2QPthd0rU/edit?usp=sharing"",""ศูนย์ยกเว้นโฉนด!G72"")"),21)</f>
        <v>21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IFERROR(__xludf.DUMMYFUNCTION("IMPORTRANGE(""https://docs.google.com/spreadsheets/d/1awYsYK3VOup2i3Pq_Yjnu8DRu_mYwSBnCR2QPthd0rU/edit?usp=sharing"",""ศูนย์ยกเว้นโฉนด!H72"")"),0)</f>
        <v>0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834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IFERROR(__xludf.DUMMYFUNCTION("IMPORTRANGE(""https://docs.google.com/spreadsheets/d/1awYsYK3VOup2i3Pq_Yjnu8DRu_mYwSBnCR2QPthd0rU/edit?usp=sharing"",""โฉนดM3!G72"")"),16)</f>
        <v>16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IFERROR(__xludf.DUMMYFUNCTION("IMPORTRANGE(""https://docs.google.com/spreadsheets/d/1awYsYK3VOup2i3Pq_Yjnu8DRu_mYwSBnCR2QPthd0rU/edit?usp=sharing"",""โฉนดM3!H72"")"),818)</f>
        <v>818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487565</v>
      </c>
      <c r="M356" s="737">
        <f ca="1">M357+M358</f>
        <v>385885</v>
      </c>
      <c r="N356" s="737">
        <f ca="1">N357+N358</f>
        <v>124988.84</v>
      </c>
      <c r="O356" s="737">
        <f ca="1">IF(L356&gt;0,N356*100/L356,0)</f>
        <v>25.635318367807368</v>
      </c>
      <c r="P356" s="737">
        <f ca="1">IF(M356&gt;0,N356*100/M356,0)</f>
        <v>32.390178421032175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487565</v>
      </c>
      <c r="M358" s="427">
        <f ca="1">M361+M364</f>
        <v>385885</v>
      </c>
      <c r="N358" s="427">
        <f ca="1">N361+N364</f>
        <v>124988.84</v>
      </c>
      <c r="O358" s="427">
        <f ca="1">IF(L358&gt;0,N358*100/L358,0)</f>
        <v>25.635318367807368</v>
      </c>
      <c r="P358" s="427">
        <f ca="1">IF(M358&gt;0,N358*100/M358,0)</f>
        <v>32.390178421032175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487565</v>
      </c>
      <c r="M359" s="427">
        <f ca="1">M360+M361</f>
        <v>385885</v>
      </c>
      <c r="N359" s="427">
        <f ca="1">N360+N361</f>
        <v>124988.84</v>
      </c>
      <c r="O359" s="427">
        <f ca="1">IF(L359&gt;0,N359*100/L359,0)</f>
        <v>25.635318367807368</v>
      </c>
      <c r="P359" s="427">
        <f ca="1">IF(M359&gt;0,N359*100/M359,0)</f>
        <v>32.390178421032175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IFERROR(__xludf.DUMMYFUNCTION("IMPORTRANGE(""https://docs.google.com/spreadsheets/d/1-uDff_7J0KD5mKrp0Vvzr7lt3OU09vwQwhkpOPPYv2Y/edit?usp=sharing"",""งบพรบ!FC72"")"),487565)</f>
        <v>487565</v>
      </c>
      <c r="M361" s="427">
        <f ca="1">IFERROR(__xludf.DUMMYFUNCTION("IMPORTRANGE(""https://docs.google.com/spreadsheets/d/1-uDff_7J0KD5mKrp0Vvzr7lt3OU09vwQwhkpOPPYv2Y/edit?usp=sharing"",""งบพรบ!FH72"")"),385885)</f>
        <v>385885</v>
      </c>
      <c r="N361" s="427">
        <f ca="1">IFERROR(__xludf.DUMMYFUNCTION("IMPORTRANGE(""https://docs.google.com/spreadsheets/d/1-uDff_7J0KD5mKrp0Vvzr7lt3OU09vwQwhkpOPPYv2Y/edit?usp=sharing"",""งบพรบ!FJ72"")"),124988.84)</f>
        <v>124988.84</v>
      </c>
      <c r="O361" s="427">
        <f ca="1">IF(L361&gt;0,N361*100/L361,0)</f>
        <v>25.635318367807368</v>
      </c>
      <c r="P361" s="427">
        <f ca="1">IF(M361&gt;0,N361*100/M361,0)</f>
        <v>32.390178421032175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IFERROR(__xludf.DUMMYFUNCTION("IMPORTRANGE(""https://docs.google.com/spreadsheets/d/1-uDff_7J0KD5mKrp0Vvzr7lt3OU09vwQwhkpOPPYv2Y/edit?usp=sharing"",""งบพรบ!FF72"")"),0)</f>
        <v>0</v>
      </c>
      <c r="M364" s="427">
        <f ca="1">IFERROR(__xludf.DUMMYFUNCTION("IMPORTRANGE(""https://docs.google.com/spreadsheets/d/1-uDff_7J0KD5mKrp0Vvzr7lt3OU09vwQwhkpOPPYv2Y/edit?usp=sharing"",""งบพรบ!FI72"")"),0)</f>
        <v>0</v>
      </c>
      <c r="N364" s="427">
        <f ca="1">IFERROR(__xludf.DUMMYFUNCTION("IMPORTRANGE(""https://docs.google.com/spreadsheets/d/1-uDff_7J0KD5mKrp0Vvzr7lt3OU09vwQwhkpOPPYv2Y/edit?usp=sharing"",""งบพรบ!FK72"")"),0)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77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IFERROR(__xludf.DUMMYFUNCTION("IMPORTRANGE(""https://docs.google.com/spreadsheets/d/1tdoBKaGub7dwA3U6UFTqxio9LNnvDCQjHKmttSEBsFQ/edit?usp=sharing"",""จัดที่ดิน!AB72"")"),30)</f>
        <v>30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IFERROR(__xludf.DUMMYFUNCTION("IMPORTRANGE(""https://docs.google.com/spreadsheets/d/1eHaY18a8A9IcSdp1K8H6x8fbOy06t2VsZHhMHf-1x7Y/edit?usp=sharing"",""แผน!EW72"")"),670)</f>
        <v>670</v>
      </c>
      <c r="J368" s="726">
        <f ca="1">IFERROR(__xludf.DUMMYFUNCTION("IMPORTRANGE(""https://docs.google.com/spreadsheets/d/1tdoBKaGub7dwA3U6UFTqxio9LNnvDCQjHKmttSEBsFQ/edit?usp=sharing"",""จัดที่ดิน!AC72"")"),167.89)</f>
        <v>167.89</v>
      </c>
      <c r="K368" s="427">
        <f ca="1">IF(I368&gt;0,J368*100/I368,0)</f>
        <v>25.058208955223879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IFERROR(__xludf.DUMMYFUNCTION("IMPORTRANGE(""https://docs.google.com/spreadsheets/d/1eHaY18a8A9IcSdp1K8H6x8fbOy06t2VsZHhMHf-1x7Y/edit?usp=sharing"",""แผน!EX72"")"),116)</f>
        <v>116</v>
      </c>
      <c r="J369" s="426">
        <f ca="1">IFERROR(__xludf.DUMMYFUNCTION("IMPORTRANGE(""https://docs.google.com/spreadsheets/d/1tdoBKaGub7dwA3U6UFTqxio9LNnvDCQjHKmttSEBsFQ/edit?usp=sharing"",""จัดที่ดิน!AD72"")"),2)</f>
        <v>2</v>
      </c>
      <c r="K369" s="427">
        <f ca="1">IF(I369&gt;0,J369*100/I369,0)</f>
        <v>1.7241379310344827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IFERROR(__xludf.DUMMYFUNCTION("IMPORTRANGE(""https://docs.google.com/spreadsheets/d/1tdoBKaGub7dwA3U6UFTqxio9LNnvDCQjHKmttSEBsFQ/edit?usp=sharing"",""จัดที่ดิน!AE72"")"),6.93)</f>
        <v>6.93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IFERROR(__xludf.DUMMYFUNCTION("IMPORTRANGE(""https://docs.google.com/spreadsheets/d/1eHaY18a8A9IcSdp1K8H6x8fbOy06t2VsZHhMHf-1x7Y/edit?usp=sharing"",""แผน!EY72"")"),77)</f>
        <v>77</v>
      </c>
      <c r="J371" s="426">
        <f ca="1">IFERROR(__xludf.DUMMYFUNCTION("IMPORTRANGE(""https://docs.google.com/spreadsheets/d/1tdoBKaGub7dwA3U6UFTqxio9LNnvDCQjHKmttSEBsFQ/edit?usp=sharing"",""จัดที่ดิน!AF72"")"),0)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IFERROR(__xludf.DUMMYFUNCTION("IMPORTRANGE(""https://docs.google.com/spreadsheets/d/1tdoBKaGub7dwA3U6UFTqxio9LNnvDCQjHKmttSEBsFQ/edit?usp=sharing"",""จัดที่ดิน!AG72"")"),0)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IFERROR(__xludf.DUMMYFUNCTION("IMPORTRANGE(""https://docs.google.com/spreadsheets/d/1-uDff_7J0KD5mKrp0Vvzr7lt3OU09vwQwhkpOPPYv2Y/edit?usp=sharing"",""งบพรบ!FM72"")"),0)</f>
        <v>0</v>
      </c>
      <c r="M382" s="522">
        <f ca="1">IFERROR(__xludf.DUMMYFUNCTION("IMPORTRANGE(""https://docs.google.com/spreadsheets/d/1-uDff_7J0KD5mKrp0Vvzr7lt3OU09vwQwhkpOPPYv2Y/edit?usp=sharing"",""งบพรบ!FR72"")"),0)</f>
        <v>0</v>
      </c>
      <c r="N382" s="522">
        <f ca="1">IFERROR(__xludf.DUMMYFUNCTION("IMPORTRANGE(""https://docs.google.com/spreadsheets/d/1-uDff_7J0KD5mKrp0Vvzr7lt3OU09vwQwhkpOPPYv2Y/edit?usp=sharing"",""งบพรบ!FT72"")"),0)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IFERROR(__xludf.DUMMYFUNCTION("IMPORTRANGE(""https://docs.google.com/spreadsheets/d/1-uDff_7J0KD5mKrp0Vvzr7lt3OU09vwQwhkpOPPYv2Y/edit?usp=sharing"",""งบพรบ!FP72"")"),0)</f>
        <v>0</v>
      </c>
      <c r="M385" s="522">
        <f ca="1">IFERROR(__xludf.DUMMYFUNCTION("IMPORTRANGE(""https://docs.google.com/spreadsheets/d/1-uDff_7J0KD5mKrp0Vvzr7lt3OU09vwQwhkpOPPYv2Y/edit?usp=sharing"",""งบพรบ!FS72"")"),0)</f>
        <v>0</v>
      </c>
      <c r="N385" s="522">
        <f ca="1">IFERROR(__xludf.DUMMYFUNCTION("IMPORTRANGE(""https://docs.google.com/spreadsheets/d/1-uDff_7J0KD5mKrp0Vvzr7lt3OU09vwQwhkpOPPYv2Y/edit?usp=sharing"",""งบพรบ!FU72"")"),0)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2" fitToHeight="0" pageOrder="overThenDown" orientation="portrait" cellComments="atEnd" verticalDpi="0" r:id="rId1"/>
  <headerFooter>
    <oddFooter>&amp;Cหน้า 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2577-D2F8-44DC-9468-58FFBF33AF40}">
  <sheetPr>
    <outlinePr summaryBelow="0" summaryRight="0"/>
    <pageSetUpPr fitToPage="1"/>
  </sheetPr>
  <dimension ref="A1:P391"/>
  <sheetViews>
    <sheetView tabSelected="1" view="pageBreakPreview" zoomScale="60" zoomScaleNormal="100" workbookViewId="0">
      <pane xSplit="8" ySplit="6" topLeftCell="I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9" width="13.5703125" bestFit="1" customWidth="1"/>
    <col min="10" max="10" width="11.140625" bestFit="1" customWidth="1"/>
    <col min="11" max="11" width="12.5703125" bestFit="1" customWidth="1"/>
    <col min="12" max="12" width="21.28515625" bestFit="1" customWidth="1"/>
    <col min="13" max="14" width="18.7109375" bestFit="1" customWidth="1"/>
    <col min="15" max="15" width="20.140625" bestFit="1" customWidth="1"/>
    <col min="16" max="16" width="22" bestFit="1" customWidth="1"/>
  </cols>
  <sheetData>
    <row r="1" spans="1:16" ht="19.5" x14ac:dyDescent="0.3">
      <c r="A1" s="999" t="s">
        <v>0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</row>
    <row r="2" spans="1:16" ht="19.5" x14ac:dyDescent="0.3">
      <c r="A2" s="999" t="s">
        <v>186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  <c r="M2" s="999"/>
      <c r="N2" s="999"/>
      <c r="O2" s="999"/>
      <c r="P2" s="999"/>
    </row>
    <row r="3" spans="1:16" ht="19.5" x14ac:dyDescent="0.3">
      <c r="A3" s="999" t="s">
        <v>187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  <c r="M3" s="999"/>
      <c r="N3" s="999"/>
      <c r="O3" s="999"/>
      <c r="P3" s="999"/>
    </row>
    <row r="4" spans="1:16" ht="12.75" x14ac:dyDescent="0.2">
      <c r="A4" s="649"/>
      <c r="B4" s="649"/>
      <c r="C4" s="649"/>
      <c r="D4" s="649"/>
      <c r="E4" s="649"/>
      <c r="F4" s="649"/>
      <c r="G4" s="649"/>
      <c r="H4" s="649"/>
      <c r="I4" s="649"/>
      <c r="J4" s="698"/>
      <c r="K4" s="997"/>
      <c r="L4" s="698"/>
      <c r="M4" s="698"/>
      <c r="N4" s="698"/>
      <c r="O4" s="649"/>
      <c r="P4" s="649"/>
    </row>
    <row r="5" spans="1:16" ht="19.5" x14ac:dyDescent="0.3">
      <c r="A5" s="996" t="s">
        <v>2</v>
      </c>
      <c r="B5" s="502"/>
      <c r="C5" s="502"/>
      <c r="D5" s="502"/>
      <c r="E5" s="502"/>
      <c r="F5" s="502"/>
      <c r="G5" s="995"/>
      <c r="H5" s="994" t="s">
        <v>3</v>
      </c>
      <c r="I5" s="993" t="s">
        <v>4</v>
      </c>
      <c r="J5" s="494"/>
      <c r="K5" s="495"/>
      <c r="L5" s="992" t="s">
        <v>5</v>
      </c>
      <c r="M5" s="495"/>
      <c r="N5" s="991" t="s">
        <v>6</v>
      </c>
      <c r="O5" s="494"/>
      <c r="P5" s="495"/>
    </row>
    <row r="6" spans="1:16" ht="19.5" x14ac:dyDescent="0.3">
      <c r="A6" s="506"/>
      <c r="B6" s="494"/>
      <c r="C6" s="494"/>
      <c r="D6" s="494"/>
      <c r="E6" s="494"/>
      <c r="F6" s="494"/>
      <c r="G6" s="495"/>
      <c r="H6" s="990"/>
      <c r="I6" s="988" t="s">
        <v>7</v>
      </c>
      <c r="J6" s="989" t="s">
        <v>8</v>
      </c>
      <c r="K6" s="988" t="s">
        <v>9</v>
      </c>
      <c r="L6" s="987" t="s">
        <v>10</v>
      </c>
      <c r="M6" s="986" t="s">
        <v>11</v>
      </c>
      <c r="N6" s="985" t="s">
        <v>12</v>
      </c>
      <c r="O6" s="984" t="s">
        <v>13</v>
      </c>
      <c r="P6" s="983" t="s">
        <v>14</v>
      </c>
    </row>
    <row r="7" spans="1:16" ht="12.75" hidden="1" x14ac:dyDescent="0.2">
      <c r="A7" s="982"/>
      <c r="B7" s="494"/>
      <c r="C7" s="494"/>
      <c r="D7" s="494"/>
      <c r="E7" s="494"/>
      <c r="F7" s="494"/>
      <c r="G7" s="495"/>
      <c r="H7" s="778"/>
      <c r="I7" s="776"/>
      <c r="J7" s="776"/>
      <c r="K7" s="775"/>
      <c r="L7" s="775"/>
      <c r="M7" s="775"/>
      <c r="N7" s="775"/>
      <c r="O7" s="775"/>
      <c r="P7" s="775"/>
    </row>
    <row r="8" spans="1:16" ht="12.75" hidden="1" x14ac:dyDescent="0.2">
      <c r="A8" s="953"/>
      <c r="B8" s="786"/>
      <c r="C8" s="786"/>
      <c r="D8" s="786"/>
      <c r="E8" s="786"/>
      <c r="F8" s="786"/>
      <c r="G8" s="785"/>
      <c r="H8" s="785"/>
      <c r="I8" s="783"/>
      <c r="J8" s="783"/>
      <c r="K8" s="782"/>
      <c r="L8" s="782"/>
      <c r="M8" s="782"/>
      <c r="N8" s="782"/>
      <c r="O8" s="782"/>
      <c r="P8" s="782"/>
    </row>
    <row r="9" spans="1:16" ht="12.75" hidden="1" x14ac:dyDescent="0.2">
      <c r="A9" s="953"/>
      <c r="B9" s="786"/>
      <c r="C9" s="786"/>
      <c r="D9" s="786"/>
      <c r="E9" s="786"/>
      <c r="F9" s="786"/>
      <c r="G9" s="785"/>
      <c r="H9" s="785"/>
      <c r="I9" s="783"/>
      <c r="J9" s="783"/>
      <c r="K9" s="782"/>
      <c r="L9" s="782"/>
      <c r="M9" s="782"/>
      <c r="N9" s="782"/>
      <c r="O9" s="782"/>
      <c r="P9" s="782"/>
    </row>
    <row r="10" spans="1:16" ht="12.75" hidden="1" x14ac:dyDescent="0.2">
      <c r="A10" s="953"/>
      <c r="B10" s="786"/>
      <c r="C10" s="786"/>
      <c r="D10" s="786"/>
      <c r="E10" s="786"/>
      <c r="F10" s="786"/>
      <c r="G10" s="785"/>
      <c r="H10" s="785"/>
      <c r="I10" s="783"/>
      <c r="J10" s="783"/>
      <c r="K10" s="782"/>
      <c r="L10" s="782"/>
      <c r="M10" s="782"/>
      <c r="N10" s="782"/>
      <c r="O10" s="782"/>
      <c r="P10" s="782"/>
    </row>
    <row r="11" spans="1:16" ht="12.75" hidden="1" x14ac:dyDescent="0.2">
      <c r="A11" s="953"/>
      <c r="B11" s="786"/>
      <c r="C11" s="786"/>
      <c r="D11" s="786"/>
      <c r="E11" s="786"/>
      <c r="F11" s="786"/>
      <c r="G11" s="785"/>
      <c r="H11" s="785"/>
      <c r="I11" s="783"/>
      <c r="J11" s="783"/>
      <c r="K11" s="782"/>
      <c r="L11" s="782"/>
      <c r="M11" s="782"/>
      <c r="N11" s="782"/>
      <c r="O11" s="782"/>
      <c r="P11" s="782"/>
    </row>
    <row r="12" spans="1:16" ht="12.75" hidden="1" x14ac:dyDescent="0.2">
      <c r="A12" s="953"/>
      <c r="B12" s="786"/>
      <c r="C12" s="786"/>
      <c r="D12" s="786"/>
      <c r="E12" s="786"/>
      <c r="F12" s="786"/>
      <c r="G12" s="785"/>
      <c r="H12" s="785"/>
      <c r="I12" s="783"/>
      <c r="J12" s="783"/>
      <c r="K12" s="782"/>
      <c r="L12" s="782"/>
      <c r="M12" s="782"/>
      <c r="N12" s="782"/>
      <c r="O12" s="782"/>
      <c r="P12" s="782"/>
    </row>
    <row r="13" spans="1:16" ht="12.75" hidden="1" x14ac:dyDescent="0.2">
      <c r="A13" s="953"/>
      <c r="B13" s="786"/>
      <c r="C13" s="786"/>
      <c r="D13" s="786"/>
      <c r="E13" s="786"/>
      <c r="F13" s="786"/>
      <c r="G13" s="785"/>
      <c r="H13" s="785"/>
      <c r="I13" s="783"/>
      <c r="J13" s="783"/>
      <c r="K13" s="782"/>
      <c r="L13" s="782"/>
      <c r="M13" s="782"/>
      <c r="N13" s="782"/>
      <c r="O13" s="782"/>
      <c r="P13" s="782"/>
    </row>
    <row r="14" spans="1:16" ht="12.75" hidden="1" x14ac:dyDescent="0.2">
      <c r="A14" s="953"/>
      <c r="B14" s="786"/>
      <c r="C14" s="786"/>
      <c r="D14" s="786"/>
      <c r="E14" s="786"/>
      <c r="F14" s="786"/>
      <c r="G14" s="785"/>
      <c r="H14" s="785"/>
      <c r="I14" s="783"/>
      <c r="J14" s="783"/>
      <c r="K14" s="782"/>
      <c r="L14" s="782"/>
      <c r="M14" s="782"/>
      <c r="N14" s="782"/>
      <c r="O14" s="782"/>
      <c r="P14" s="782"/>
    </row>
    <row r="15" spans="1:16" ht="12.75" hidden="1" x14ac:dyDescent="0.2">
      <c r="A15" s="953"/>
      <c r="B15" s="786"/>
      <c r="C15" s="786"/>
      <c r="D15" s="786"/>
      <c r="E15" s="786"/>
      <c r="F15" s="786"/>
      <c r="G15" s="785"/>
      <c r="H15" s="785"/>
      <c r="I15" s="783"/>
      <c r="J15" s="783"/>
      <c r="K15" s="782"/>
      <c r="L15" s="782"/>
      <c r="M15" s="782"/>
      <c r="N15" s="782"/>
      <c r="O15" s="782"/>
      <c r="P15" s="782"/>
    </row>
    <row r="16" spans="1:16" ht="12.75" hidden="1" x14ac:dyDescent="0.2">
      <c r="A16" s="970"/>
      <c r="B16" s="779"/>
      <c r="C16" s="779"/>
      <c r="D16" s="779"/>
      <c r="E16" s="779"/>
      <c r="F16" s="779"/>
      <c r="G16" s="778"/>
      <c r="H16" s="778"/>
      <c r="I16" s="776"/>
      <c r="J16" s="776"/>
      <c r="K16" s="775"/>
      <c r="L16" s="775"/>
      <c r="M16" s="775"/>
      <c r="N16" s="775"/>
      <c r="O16" s="775"/>
      <c r="P16" s="775"/>
    </row>
    <row r="17" spans="1:16" ht="19.5" x14ac:dyDescent="0.3">
      <c r="A17" s="981" t="s">
        <v>15</v>
      </c>
      <c r="B17" s="494"/>
      <c r="C17" s="494"/>
      <c r="D17" s="494"/>
      <c r="E17" s="494"/>
      <c r="F17" s="494"/>
      <c r="G17" s="495"/>
      <c r="H17" s="980"/>
      <c r="I17" s="979"/>
      <c r="J17" s="979"/>
      <c r="K17" s="978"/>
      <c r="L17" s="978"/>
      <c r="M17" s="978"/>
      <c r="N17" s="978"/>
      <c r="O17" s="978"/>
      <c r="P17" s="978"/>
    </row>
    <row r="18" spans="1:16" ht="19.5" x14ac:dyDescent="0.3">
      <c r="A18" s="975"/>
      <c r="B18" s="869"/>
      <c r="C18" s="870" t="s">
        <v>16</v>
      </c>
      <c r="D18" s="977" t="s">
        <v>17</v>
      </c>
      <c r="E18" s="869"/>
      <c r="F18" s="869"/>
      <c r="G18" s="868"/>
      <c r="H18" s="976" t="s">
        <v>12</v>
      </c>
      <c r="I18" s="884"/>
      <c r="J18" s="884"/>
      <c r="K18" s="864"/>
      <c r="L18" s="865">
        <f ca="1">L19+L20</f>
        <v>1084345</v>
      </c>
      <c r="M18" s="865">
        <f ca="1">M19+M20</f>
        <v>838545</v>
      </c>
      <c r="N18" s="865">
        <f ca="1">N19+N20</f>
        <v>470657.03</v>
      </c>
      <c r="O18" s="865">
        <f ca="1">IF(L18&gt;0,N18*100/L18,0)</f>
        <v>43.404730966620399</v>
      </c>
      <c r="P18" s="865">
        <f ca="1">IF(M18&gt;0,N18*100/M18,0)</f>
        <v>56.127820212391704</v>
      </c>
    </row>
    <row r="19" spans="1:16" ht="18.75" hidden="1" x14ac:dyDescent="0.25">
      <c r="A19" s="975"/>
      <c r="B19" s="869"/>
      <c r="C19" s="869"/>
      <c r="D19" s="869"/>
      <c r="E19" s="688" t="s">
        <v>18</v>
      </c>
      <c r="F19" s="869"/>
      <c r="G19" s="868"/>
      <c r="H19" s="685" t="s">
        <v>12</v>
      </c>
      <c r="I19" s="884"/>
      <c r="J19" s="884"/>
      <c r="K19" s="864"/>
      <c r="L19" s="682">
        <f>L22+L25</f>
        <v>0</v>
      </c>
      <c r="M19" s="682">
        <f>M22+M25</f>
        <v>0</v>
      </c>
      <c r="N19" s="682">
        <f>N22+N25</f>
        <v>0</v>
      </c>
      <c r="O19" s="682">
        <f>IF(L19&gt;0,N19*100/L19,0)</f>
        <v>0</v>
      </c>
      <c r="P19" s="682">
        <f>IF(M19&gt;0,N19*100/M19,0)</f>
        <v>0</v>
      </c>
    </row>
    <row r="20" spans="1:16" ht="18.75" x14ac:dyDescent="0.25">
      <c r="A20" s="975"/>
      <c r="B20" s="869"/>
      <c r="C20" s="869"/>
      <c r="D20" s="869"/>
      <c r="E20" s="974" t="s">
        <v>19</v>
      </c>
      <c r="F20" s="869"/>
      <c r="G20" s="868"/>
      <c r="H20" s="973" t="s">
        <v>12</v>
      </c>
      <c r="I20" s="884"/>
      <c r="J20" s="884"/>
      <c r="K20" s="864"/>
      <c r="L20" s="972">
        <f ca="1">L23+L26</f>
        <v>1084345</v>
      </c>
      <c r="M20" s="972">
        <f ca="1">M23+M26</f>
        <v>838545</v>
      </c>
      <c r="N20" s="972">
        <f ca="1">N23+N26</f>
        <v>470657.03</v>
      </c>
      <c r="O20" s="972">
        <f ca="1">IF(L20&gt;0,N20*100/L20,0)</f>
        <v>43.404730966620399</v>
      </c>
      <c r="P20" s="972">
        <f ca="1">IF(M20&gt;0,N20*100/M20,0)</f>
        <v>56.127820212391704</v>
      </c>
    </row>
    <row r="21" spans="1:16" ht="18.75" x14ac:dyDescent="0.25">
      <c r="A21" s="652"/>
      <c r="B21" s="420"/>
      <c r="C21" s="420"/>
      <c r="D21" s="735" t="s">
        <v>20</v>
      </c>
      <c r="E21" s="420"/>
      <c r="F21" s="420"/>
      <c r="G21" s="424"/>
      <c r="H21" s="847" t="s">
        <v>12</v>
      </c>
      <c r="I21" s="429"/>
      <c r="J21" s="429"/>
      <c r="K21" s="430"/>
      <c r="L21" s="427">
        <f ca="1">L22+L23</f>
        <v>1084345</v>
      </c>
      <c r="M21" s="427">
        <f ca="1">M22+M23</f>
        <v>838545</v>
      </c>
      <c r="N21" s="427">
        <f ca="1">N22+N23</f>
        <v>470657.03</v>
      </c>
      <c r="O21" s="427">
        <f ca="1">IF(L21&gt;0,N21*100/L21,0)</f>
        <v>43.404730966620399</v>
      </c>
      <c r="P21" s="427">
        <f ca="1">IF(M21&gt;0,N21*100/M21,0)</f>
        <v>56.127820212391704</v>
      </c>
    </row>
    <row r="22" spans="1:16" ht="18.75" hidden="1" x14ac:dyDescent="0.25">
      <c r="A22" s="652"/>
      <c r="B22" s="420"/>
      <c r="C22" s="420"/>
      <c r="D22" s="420"/>
      <c r="E22" s="540" t="s">
        <v>18</v>
      </c>
      <c r="F22" s="420"/>
      <c r="G22" s="424"/>
      <c r="H22" s="579" t="s">
        <v>12</v>
      </c>
      <c r="I22" s="429"/>
      <c r="J22" s="429"/>
      <c r="K22" s="430"/>
      <c r="L22" s="522">
        <f>L48+L63+L76+L98+L129+L143+L161+L190+L177+L270+L286+L307+L324+L337+L360+L381</f>
        <v>0</v>
      </c>
      <c r="M22" s="522">
        <f>M48+M63+M76+M98+M129+M143+M161+M190+M177+M270+M286+M307+M324+M337+M360+M381</f>
        <v>0</v>
      </c>
      <c r="N22" s="522">
        <f>N48+N63+N76+N98+N129+N143+N161+N190+N177+N270+N286+N307+N324+N337+N360+N381</f>
        <v>0</v>
      </c>
      <c r="O22" s="522">
        <f>IF(L22&gt;0,N22*100/L22,0)</f>
        <v>0</v>
      </c>
      <c r="P22" s="522">
        <f>IF(M22&gt;0,N22*100/M22,0)</f>
        <v>0</v>
      </c>
    </row>
    <row r="23" spans="1:16" ht="18.75" x14ac:dyDescent="0.25">
      <c r="A23" s="652"/>
      <c r="B23" s="420"/>
      <c r="C23" s="420"/>
      <c r="D23" s="420"/>
      <c r="E23" s="295" t="s">
        <v>19</v>
      </c>
      <c r="F23" s="420"/>
      <c r="G23" s="424"/>
      <c r="H23" s="847" t="s">
        <v>12</v>
      </c>
      <c r="I23" s="429"/>
      <c r="J23" s="429"/>
      <c r="K23" s="430"/>
      <c r="L23" s="427">
        <f ca="1">L49+L64+L77+L99+L130+L144+L162+L191+L178+L271+L287+L308+L325+L338+L361+L382</f>
        <v>1084345</v>
      </c>
      <c r="M23" s="427">
        <f ca="1">M49+M64+M77+M99+M130+M144+M162+M191+M178+M271+M287+M308+M325+M338+M361+M382</f>
        <v>838545</v>
      </c>
      <c r="N23" s="427">
        <f ca="1">N49+N64+N77+N99+N130+N144+N162+N191+N178+N271+N287+N308+N325+N338+N361+N382</f>
        <v>470657.03</v>
      </c>
      <c r="O23" s="427">
        <f ca="1">IF(L23&gt;0,N23*100/L23,0)</f>
        <v>43.404730966620399</v>
      </c>
      <c r="P23" s="427">
        <f ca="1">IF(M23&gt;0,N23*100/M23,0)</f>
        <v>56.127820212391704</v>
      </c>
    </row>
    <row r="24" spans="1:16" ht="18.75" x14ac:dyDescent="0.25">
      <c r="A24" s="652"/>
      <c r="B24" s="420"/>
      <c r="C24" s="420"/>
      <c r="D24" s="735" t="s">
        <v>21</v>
      </c>
      <c r="E24" s="420"/>
      <c r="F24" s="420"/>
      <c r="G24" s="424"/>
      <c r="H24" s="847" t="s">
        <v>12</v>
      </c>
      <c r="I24" s="429"/>
      <c r="J24" s="429"/>
      <c r="K24" s="430"/>
      <c r="L24" s="427">
        <f ca="1">L25+L26</f>
        <v>0</v>
      </c>
      <c r="M24" s="427">
        <f ca="1">M25+M26</f>
        <v>0</v>
      </c>
      <c r="N24" s="427">
        <f ca="1">N25+N26</f>
        <v>0</v>
      </c>
      <c r="O24" s="427">
        <f ca="1">IF(L24&gt;0,N24*100/L24,0)</f>
        <v>0</v>
      </c>
      <c r="P24" s="427">
        <f ca="1">IF(M24&gt;0,N24*100/M24,0)</f>
        <v>0</v>
      </c>
    </row>
    <row r="25" spans="1:16" ht="18.75" hidden="1" x14ac:dyDescent="0.25">
      <c r="A25" s="652"/>
      <c r="B25" s="420"/>
      <c r="C25" s="420"/>
      <c r="D25" s="420"/>
      <c r="E25" s="540" t="s">
        <v>18</v>
      </c>
      <c r="F25" s="420"/>
      <c r="G25" s="424"/>
      <c r="H25" s="579" t="s">
        <v>12</v>
      </c>
      <c r="I25" s="429"/>
      <c r="J25" s="429"/>
      <c r="K25" s="430"/>
      <c r="L25" s="522">
        <f>L51+L66+L79+L101+L132+L146+L164+L193+L180+L273+L289+L310+L327+L340+L363+L384</f>
        <v>0</v>
      </c>
      <c r="M25" s="522">
        <f>M51+M66+M79+M101+M132+M146+M164+M193+M180+M273+M289+M310+M327+M340+M363+M384</f>
        <v>0</v>
      </c>
      <c r="N25" s="522">
        <f>N51+N66+N79+N101+N132+N146+N164+N193+N180+N273+N289+N310+N327+N340+N363+N384</f>
        <v>0</v>
      </c>
      <c r="O25" s="522">
        <f>IF(L25&gt;0,N25*100/L25,0)</f>
        <v>0</v>
      </c>
      <c r="P25" s="522">
        <f>IF(M25&gt;0,N25*100/M25,0)</f>
        <v>0</v>
      </c>
    </row>
    <row r="26" spans="1:16" ht="18.75" x14ac:dyDescent="0.25">
      <c r="A26" s="652"/>
      <c r="B26" s="420"/>
      <c r="C26" s="420"/>
      <c r="D26" s="420"/>
      <c r="E26" s="295" t="s">
        <v>19</v>
      </c>
      <c r="F26" s="420"/>
      <c r="G26" s="424"/>
      <c r="H26" s="847" t="s">
        <v>12</v>
      </c>
      <c r="I26" s="429"/>
      <c r="J26" s="429"/>
      <c r="K26" s="430"/>
      <c r="L26" s="427">
        <f ca="1">L52+L67+L80+L102+L133+L147+L165+L194+L181+L274+L290+L311+L328+L341+L364+L385</f>
        <v>0</v>
      </c>
      <c r="M26" s="427">
        <f ca="1">M52+M67+M80+M102+M133+M147+M165+M194+M181+M274+M290+M311+M328+M341+M364+M385</f>
        <v>0</v>
      </c>
      <c r="N26" s="427">
        <f ca="1">N52+N67+N80+N102+N133+N147+N165+N194+N181+N274+N290+N311+N328+N341+N364+N385</f>
        <v>0</v>
      </c>
      <c r="O26" s="427">
        <f ca="1">IF(L26&gt;0,N26*100/L26,0)</f>
        <v>0</v>
      </c>
      <c r="P26" s="427">
        <f ca="1">IF(M26&gt;0,N26*100/M26,0)</f>
        <v>0</v>
      </c>
    </row>
    <row r="27" spans="1:16" ht="18.75" hidden="1" x14ac:dyDescent="0.25">
      <c r="A27" s="652"/>
      <c r="B27" s="420"/>
      <c r="C27" s="420"/>
      <c r="D27" s="735" t="s">
        <v>22</v>
      </c>
      <c r="E27" s="420"/>
      <c r="F27" s="420"/>
      <c r="G27" s="424"/>
      <c r="H27" s="847" t="s">
        <v>12</v>
      </c>
      <c r="I27" s="429"/>
      <c r="J27" s="429"/>
      <c r="K27" s="430"/>
      <c r="L27" s="427"/>
      <c r="M27" s="427"/>
      <c r="N27" s="427"/>
      <c r="O27" s="427"/>
      <c r="P27" s="427"/>
    </row>
    <row r="28" spans="1:16" ht="18.75" hidden="1" x14ac:dyDescent="0.25">
      <c r="A28" s="652"/>
      <c r="B28" s="420"/>
      <c r="C28" s="420"/>
      <c r="D28" s="420"/>
      <c r="E28" s="540" t="s">
        <v>18</v>
      </c>
      <c r="F28" s="420"/>
      <c r="G28" s="424"/>
      <c r="H28" s="579" t="s">
        <v>12</v>
      </c>
      <c r="I28" s="429"/>
      <c r="J28" s="429"/>
      <c r="K28" s="430"/>
      <c r="L28" s="522"/>
      <c r="M28" s="522"/>
      <c r="N28" s="522"/>
      <c r="O28" s="522"/>
      <c r="P28" s="522"/>
    </row>
    <row r="29" spans="1:16" ht="18.75" hidden="1" x14ac:dyDescent="0.25">
      <c r="A29" s="651"/>
      <c r="B29" s="649"/>
      <c r="C29" s="649"/>
      <c r="D29" s="649"/>
      <c r="E29" s="650" t="s">
        <v>19</v>
      </c>
      <c r="F29" s="649"/>
      <c r="G29" s="648"/>
      <c r="H29" s="647" t="s">
        <v>12</v>
      </c>
      <c r="I29" s="646"/>
      <c r="J29" s="646"/>
      <c r="K29" s="645"/>
      <c r="L29" s="644"/>
      <c r="M29" s="644"/>
      <c r="N29" s="644"/>
      <c r="O29" s="644"/>
      <c r="P29" s="644"/>
    </row>
    <row r="30" spans="1:16" ht="12.75" hidden="1" x14ac:dyDescent="0.2">
      <c r="A30" s="982"/>
      <c r="B30" s="494"/>
      <c r="C30" s="494"/>
      <c r="D30" s="494"/>
      <c r="E30" s="494"/>
      <c r="F30" s="494"/>
      <c r="G30" s="495"/>
      <c r="H30" s="778"/>
      <c r="I30" s="776"/>
      <c r="J30" s="776"/>
      <c r="K30" s="775"/>
      <c r="L30" s="775"/>
      <c r="M30" s="775"/>
      <c r="N30" s="775"/>
      <c r="O30" s="775"/>
      <c r="P30" s="775"/>
    </row>
    <row r="31" spans="1:16" ht="12.75" hidden="1" x14ac:dyDescent="0.2">
      <c r="A31" s="953"/>
      <c r="B31" s="786"/>
      <c r="C31" s="786"/>
      <c r="D31" s="786"/>
      <c r="E31" s="786"/>
      <c r="F31" s="786"/>
      <c r="G31" s="785"/>
      <c r="H31" s="785"/>
      <c r="I31" s="783"/>
      <c r="J31" s="783"/>
      <c r="K31" s="782"/>
      <c r="L31" s="782"/>
      <c r="M31" s="782"/>
      <c r="N31" s="782"/>
      <c r="O31" s="782"/>
      <c r="P31" s="782"/>
    </row>
    <row r="32" spans="1:16" ht="12.75" hidden="1" x14ac:dyDescent="0.2">
      <c r="A32" s="953"/>
      <c r="B32" s="786"/>
      <c r="C32" s="786"/>
      <c r="D32" s="786"/>
      <c r="E32" s="786"/>
      <c r="F32" s="786"/>
      <c r="G32" s="785"/>
      <c r="H32" s="785"/>
      <c r="I32" s="783"/>
      <c r="J32" s="783"/>
      <c r="K32" s="782"/>
      <c r="L32" s="782"/>
      <c r="M32" s="782"/>
      <c r="N32" s="782"/>
      <c r="O32" s="782"/>
      <c r="P32" s="782"/>
    </row>
    <row r="33" spans="1:16" ht="12.75" hidden="1" x14ac:dyDescent="0.2">
      <c r="A33" s="953"/>
      <c r="B33" s="786"/>
      <c r="C33" s="786"/>
      <c r="D33" s="786"/>
      <c r="E33" s="786"/>
      <c r="F33" s="786"/>
      <c r="G33" s="785"/>
      <c r="H33" s="785"/>
      <c r="I33" s="783"/>
      <c r="J33" s="783"/>
      <c r="K33" s="782"/>
      <c r="L33" s="782"/>
      <c r="M33" s="782"/>
      <c r="N33" s="782"/>
      <c r="O33" s="782"/>
      <c r="P33" s="782"/>
    </row>
    <row r="34" spans="1:16" ht="12.75" hidden="1" x14ac:dyDescent="0.2">
      <c r="A34" s="953"/>
      <c r="B34" s="786"/>
      <c r="C34" s="786"/>
      <c r="D34" s="786"/>
      <c r="E34" s="786"/>
      <c r="F34" s="786"/>
      <c r="G34" s="785"/>
      <c r="H34" s="785"/>
      <c r="I34" s="783"/>
      <c r="J34" s="783"/>
      <c r="K34" s="782"/>
      <c r="L34" s="782"/>
      <c r="M34" s="782"/>
      <c r="N34" s="782"/>
      <c r="O34" s="782"/>
      <c r="P34" s="782"/>
    </row>
    <row r="35" spans="1:16" ht="12.75" hidden="1" x14ac:dyDescent="0.2">
      <c r="A35" s="953"/>
      <c r="B35" s="786"/>
      <c r="C35" s="786"/>
      <c r="D35" s="786"/>
      <c r="E35" s="786"/>
      <c r="F35" s="786"/>
      <c r="G35" s="785"/>
      <c r="H35" s="785"/>
      <c r="I35" s="783"/>
      <c r="J35" s="783"/>
      <c r="K35" s="782"/>
      <c r="L35" s="782"/>
      <c r="M35" s="782"/>
      <c r="N35" s="782"/>
      <c r="O35" s="782"/>
      <c r="P35" s="782"/>
    </row>
    <row r="36" spans="1:16" ht="12.75" hidden="1" x14ac:dyDescent="0.2">
      <c r="A36" s="953"/>
      <c r="B36" s="786"/>
      <c r="C36" s="786"/>
      <c r="D36" s="786"/>
      <c r="E36" s="786"/>
      <c r="F36" s="786"/>
      <c r="G36" s="785"/>
      <c r="H36" s="785"/>
      <c r="I36" s="783"/>
      <c r="J36" s="783"/>
      <c r="K36" s="782"/>
      <c r="L36" s="782"/>
      <c r="M36" s="782"/>
      <c r="N36" s="782"/>
      <c r="O36" s="782"/>
      <c r="P36" s="782"/>
    </row>
    <row r="37" spans="1:16" ht="12.75" hidden="1" x14ac:dyDescent="0.2">
      <c r="A37" s="953"/>
      <c r="B37" s="786"/>
      <c r="C37" s="786"/>
      <c r="D37" s="786"/>
      <c r="E37" s="786"/>
      <c r="F37" s="786"/>
      <c r="G37" s="785"/>
      <c r="H37" s="785"/>
      <c r="I37" s="783"/>
      <c r="J37" s="783"/>
      <c r="K37" s="782"/>
      <c r="L37" s="782"/>
      <c r="M37" s="782"/>
      <c r="N37" s="782"/>
      <c r="O37" s="782"/>
      <c r="P37" s="782"/>
    </row>
    <row r="38" spans="1:16" ht="12.75" hidden="1" x14ac:dyDescent="0.2">
      <c r="A38" s="953"/>
      <c r="B38" s="786"/>
      <c r="C38" s="786"/>
      <c r="D38" s="786"/>
      <c r="E38" s="786"/>
      <c r="F38" s="786"/>
      <c r="G38" s="785"/>
      <c r="H38" s="785"/>
      <c r="I38" s="783"/>
      <c r="J38" s="783"/>
      <c r="K38" s="782"/>
      <c r="L38" s="782"/>
      <c r="M38" s="782"/>
      <c r="N38" s="782"/>
      <c r="O38" s="782"/>
      <c r="P38" s="782"/>
    </row>
    <row r="39" spans="1:16" ht="12.75" hidden="1" x14ac:dyDescent="0.2">
      <c r="A39" s="970"/>
      <c r="B39" s="779"/>
      <c r="C39" s="779"/>
      <c r="D39" s="779"/>
      <c r="E39" s="779"/>
      <c r="F39" s="779"/>
      <c r="G39" s="778"/>
      <c r="H39" s="778"/>
      <c r="I39" s="776"/>
      <c r="J39" s="776"/>
      <c r="K39" s="775"/>
      <c r="L39" s="775"/>
      <c r="M39" s="775"/>
      <c r="N39" s="775"/>
      <c r="O39" s="775"/>
      <c r="P39" s="775"/>
    </row>
    <row r="40" spans="1:16" ht="19.5" hidden="1" x14ac:dyDescent="0.3">
      <c r="A40" s="969" t="s">
        <v>23</v>
      </c>
      <c r="B40" s="968"/>
      <c r="C40" s="968"/>
      <c r="D40" s="968"/>
      <c r="E40" s="968"/>
      <c r="F40" s="968"/>
      <c r="G40" s="967"/>
      <c r="H40" s="967"/>
      <c r="I40" s="966"/>
      <c r="J40" s="966"/>
      <c r="K40" s="965"/>
      <c r="L40" s="964">
        <f ca="1">L44+L59+L72+L94+L125+L139+L157+L173+L186+L266+L282+L303+L320+L333+L356</f>
        <v>1084345</v>
      </c>
      <c r="M40" s="964">
        <f ca="1">M44+M59+M72+M94+M125+M139+M157+M173+M186+M266+M282+M303+M320+M333+M356</f>
        <v>838545</v>
      </c>
      <c r="N40" s="964">
        <f ca="1">N44+N59+N72+N94+N125+N139+N157+N173+N186+N266+N282+N303+N320+N333+N356</f>
        <v>470657.03</v>
      </c>
      <c r="O40" s="964">
        <f ca="1">IF(L40&gt;0,N40*100/L40,0)</f>
        <v>43.404730966620399</v>
      </c>
      <c r="P40" s="964">
        <f ca="1">IF(M40&gt;0,N40*100/M40,0)</f>
        <v>56.127820212391704</v>
      </c>
    </row>
    <row r="41" spans="1:16" ht="19.5" x14ac:dyDescent="0.3">
      <c r="A41" s="963" t="s">
        <v>24</v>
      </c>
      <c r="B41" s="962"/>
      <c r="C41" s="962"/>
      <c r="D41" s="962"/>
      <c r="E41" s="962"/>
      <c r="F41" s="962"/>
      <c r="G41" s="962"/>
      <c r="H41" s="962"/>
      <c r="I41" s="961"/>
      <c r="J41" s="961"/>
      <c r="K41" s="960"/>
      <c r="L41" s="960"/>
      <c r="M41" s="960"/>
      <c r="N41" s="960"/>
      <c r="O41" s="960"/>
      <c r="P41" s="959"/>
    </row>
    <row r="42" spans="1:16" ht="19.5" x14ac:dyDescent="0.3">
      <c r="A42" s="957"/>
      <c r="B42" s="958" t="s">
        <v>25</v>
      </c>
      <c r="C42" s="957"/>
      <c r="D42" s="957"/>
      <c r="E42" s="957"/>
      <c r="F42" s="957"/>
      <c r="G42" s="956"/>
      <c r="H42" s="956"/>
      <c r="I42" s="955"/>
      <c r="J42" s="955"/>
      <c r="K42" s="954"/>
      <c r="L42" s="954"/>
      <c r="M42" s="954"/>
      <c r="N42" s="954"/>
      <c r="O42" s="954"/>
      <c r="P42" s="954"/>
    </row>
    <row r="43" spans="1:16" ht="12.75" hidden="1" x14ac:dyDescent="0.2">
      <c r="A43" s="953"/>
      <c r="B43" s="786"/>
      <c r="C43" s="786"/>
      <c r="D43" s="786"/>
      <c r="E43" s="786"/>
      <c r="F43" s="786"/>
      <c r="G43" s="785"/>
      <c r="H43" s="785"/>
      <c r="I43" s="783"/>
      <c r="J43" s="783"/>
      <c r="K43" s="782"/>
      <c r="L43" s="782"/>
      <c r="M43" s="782"/>
      <c r="N43" s="782"/>
      <c r="O43" s="782"/>
      <c r="P43" s="782"/>
    </row>
    <row r="44" spans="1:16" ht="19.5" x14ac:dyDescent="0.3">
      <c r="A44" s="948"/>
      <c r="B44" s="946"/>
      <c r="C44" s="952" t="s">
        <v>16</v>
      </c>
      <c r="D44" s="951" t="s">
        <v>17</v>
      </c>
      <c r="E44" s="946"/>
      <c r="F44" s="946"/>
      <c r="G44" s="945"/>
      <c r="H44" s="950" t="s">
        <v>12</v>
      </c>
      <c r="I44" s="943"/>
      <c r="J44" s="943"/>
      <c r="K44" s="942"/>
      <c r="L44" s="949">
        <f ca="1">L45+L46</f>
        <v>84500</v>
      </c>
      <c r="M44" s="949">
        <f ca="1">M45+M46</f>
        <v>89000</v>
      </c>
      <c r="N44" s="949">
        <f ca="1">N45+N46</f>
        <v>50000</v>
      </c>
      <c r="O44" s="949">
        <f ca="1">IF(L44&gt;0,N44*100/L44,0)</f>
        <v>59.171597633136095</v>
      </c>
      <c r="P44" s="949">
        <f ca="1">IF(M44&gt;0,N44*100/M44,0)</f>
        <v>56.179775280898873</v>
      </c>
    </row>
    <row r="45" spans="1:16" ht="18.75" hidden="1" x14ac:dyDescent="0.25">
      <c r="A45" s="948"/>
      <c r="B45" s="946"/>
      <c r="C45" s="946"/>
      <c r="D45" s="946"/>
      <c r="E45" s="667" t="s">
        <v>18</v>
      </c>
      <c r="F45" s="946"/>
      <c r="G45" s="945"/>
      <c r="H45" s="664" t="s">
        <v>12</v>
      </c>
      <c r="I45" s="943"/>
      <c r="J45" s="943"/>
      <c r="K45" s="942"/>
      <c r="L45" s="661">
        <f>L48+L51</f>
        <v>0</v>
      </c>
      <c r="M45" s="661">
        <f>M48+M51</f>
        <v>0</v>
      </c>
      <c r="N45" s="661">
        <f>N48+N51</f>
        <v>0</v>
      </c>
      <c r="O45" s="661">
        <f>IF(L45&gt;0,N45*100/L45,0)</f>
        <v>0</v>
      </c>
      <c r="P45" s="661">
        <f>IF(M45&gt;0,N45*100/M45,0)</f>
        <v>0</v>
      </c>
    </row>
    <row r="46" spans="1:16" ht="18.75" x14ac:dyDescent="0.25">
      <c r="A46" s="948"/>
      <c r="B46" s="946"/>
      <c r="C46" s="946"/>
      <c r="D46" s="946"/>
      <c r="E46" s="947" t="s">
        <v>19</v>
      </c>
      <c r="F46" s="946"/>
      <c r="G46" s="945"/>
      <c r="H46" s="944" t="s">
        <v>12</v>
      </c>
      <c r="I46" s="943"/>
      <c r="J46" s="943"/>
      <c r="K46" s="942"/>
      <c r="L46" s="941">
        <f ca="1">L49+L52</f>
        <v>84500</v>
      </c>
      <c r="M46" s="941">
        <f ca="1">M49+M52</f>
        <v>89000</v>
      </c>
      <c r="N46" s="941">
        <f ca="1">N49+N52</f>
        <v>50000</v>
      </c>
      <c r="O46" s="941">
        <f ca="1">IF(L46&gt;0,N46*100/L46,0)</f>
        <v>59.171597633136095</v>
      </c>
      <c r="P46" s="941">
        <f ca="1">IF(M46&gt;0,N46*100/M46,0)</f>
        <v>56.179775280898873</v>
      </c>
    </row>
    <row r="47" spans="1:16" ht="18.75" x14ac:dyDescent="0.25">
      <c r="A47" s="652"/>
      <c r="B47" s="420"/>
      <c r="C47" s="420"/>
      <c r="D47" s="735" t="s">
        <v>20</v>
      </c>
      <c r="E47" s="420"/>
      <c r="F47" s="420"/>
      <c r="G47" s="424"/>
      <c r="H47" s="847" t="s">
        <v>12</v>
      </c>
      <c r="I47" s="429"/>
      <c r="J47" s="429"/>
      <c r="K47" s="430"/>
      <c r="L47" s="427">
        <f ca="1">L48+L49</f>
        <v>84500</v>
      </c>
      <c r="M47" s="427">
        <f ca="1">M48+M49</f>
        <v>89000</v>
      </c>
      <c r="N47" s="427">
        <f ca="1">N48+N49</f>
        <v>50000</v>
      </c>
      <c r="O47" s="427">
        <f ca="1">IF(L47&gt;0,N47*100/L47,0)</f>
        <v>59.171597633136095</v>
      </c>
      <c r="P47" s="427">
        <f ca="1">IF(M47&gt;0,N47*100/M47,0)</f>
        <v>56.179775280898873</v>
      </c>
    </row>
    <row r="48" spans="1:16" ht="18.75" hidden="1" x14ac:dyDescent="0.25">
      <c r="A48" s="652"/>
      <c r="B48" s="420"/>
      <c r="C48" s="420"/>
      <c r="D48" s="420"/>
      <c r="E48" s="540" t="s">
        <v>18</v>
      </c>
      <c r="F48" s="420"/>
      <c r="G48" s="424"/>
      <c r="H48" s="579" t="s">
        <v>12</v>
      </c>
      <c r="I48" s="429"/>
      <c r="J48" s="429"/>
      <c r="K48" s="430"/>
      <c r="L48" s="522">
        <v>0</v>
      </c>
      <c r="M48" s="522">
        <v>0</v>
      </c>
      <c r="N48" s="522">
        <v>0</v>
      </c>
      <c r="O48" s="522">
        <f>IF(L48&gt;0,N48*100/L48,0)</f>
        <v>0</v>
      </c>
      <c r="P48" s="522">
        <f>IF(M48&gt;0,N48*100/M48,0)</f>
        <v>0</v>
      </c>
    </row>
    <row r="49" spans="1:16" ht="18.75" x14ac:dyDescent="0.25">
      <c r="A49" s="652"/>
      <c r="B49" s="420"/>
      <c r="C49" s="420"/>
      <c r="D49" s="420"/>
      <c r="E49" s="295" t="s">
        <v>19</v>
      </c>
      <c r="F49" s="420"/>
      <c r="G49" s="424"/>
      <c r="H49" s="847" t="s">
        <v>12</v>
      </c>
      <c r="I49" s="429"/>
      <c r="J49" s="429"/>
      <c r="K49" s="430"/>
      <c r="L49" s="427">
        <f ca="1">IFERROR(__xludf.DUMMYFUNCTION("IMPORTRANGE(""https://docs.google.com/spreadsheets/d/1-uDff_7J0KD5mKrp0Vvzr7lt3OU09vwQwhkpOPPYv2Y/edit?usp=sharing"",""งบพรบ!P73"")"),84500)</f>
        <v>84500</v>
      </c>
      <c r="M49" s="427">
        <f ca="1">IFERROR(__xludf.DUMMYFUNCTION("IMPORTRANGE(""https://docs.google.com/spreadsheets/d/1-uDff_7J0KD5mKrp0Vvzr7lt3OU09vwQwhkpOPPYv2Y/edit?usp=sharing"",""งบพรบ!V73"")"),89000)</f>
        <v>89000</v>
      </c>
      <c r="N49" s="427">
        <f ca="1">IFERROR(__xludf.DUMMYFUNCTION("IMPORTRANGE(""https://docs.google.com/spreadsheets/d/1-uDff_7J0KD5mKrp0Vvzr7lt3OU09vwQwhkpOPPYv2Y/edit?usp=sharing"",""งบพรบ!Y73"")"),50000)</f>
        <v>50000</v>
      </c>
      <c r="O49" s="427">
        <f ca="1">IF(L49&gt;0,N49*100/L49,0)</f>
        <v>59.171597633136095</v>
      </c>
      <c r="P49" s="427">
        <f ca="1">IF(M49&gt;0,N49*100/M49,0)</f>
        <v>56.179775280898873</v>
      </c>
    </row>
    <row r="50" spans="1:16" ht="18.75" x14ac:dyDescent="0.25">
      <c r="A50" s="652"/>
      <c r="B50" s="420"/>
      <c r="C50" s="420"/>
      <c r="D50" s="735" t="s">
        <v>21</v>
      </c>
      <c r="E50" s="420"/>
      <c r="F50" s="420"/>
      <c r="G50" s="424"/>
      <c r="H50" s="847" t="s">
        <v>12</v>
      </c>
      <c r="I50" s="429"/>
      <c r="J50" s="429"/>
      <c r="K50" s="430"/>
      <c r="L50" s="427">
        <f ca="1">L51+L52</f>
        <v>0</v>
      </c>
      <c r="M50" s="427">
        <f ca="1">M51+M52</f>
        <v>0</v>
      </c>
      <c r="N50" s="427">
        <f ca="1">N51+N52</f>
        <v>0</v>
      </c>
      <c r="O50" s="427">
        <f ca="1">IF(L50&gt;0,N50*100/L50,0)</f>
        <v>0</v>
      </c>
      <c r="P50" s="427">
        <f ca="1">IF(M50&gt;0,N50*100/M50,0)</f>
        <v>0</v>
      </c>
    </row>
    <row r="51" spans="1:16" ht="18.75" hidden="1" x14ac:dyDescent="0.25">
      <c r="A51" s="652"/>
      <c r="B51" s="420"/>
      <c r="C51" s="420"/>
      <c r="D51" s="420"/>
      <c r="E51" s="540" t="s">
        <v>18</v>
      </c>
      <c r="F51" s="420"/>
      <c r="G51" s="424"/>
      <c r="H51" s="579" t="s">
        <v>12</v>
      </c>
      <c r="I51" s="429"/>
      <c r="J51" s="429"/>
      <c r="K51" s="430"/>
      <c r="L51" s="522">
        <v>0</v>
      </c>
      <c r="M51" s="522">
        <v>0</v>
      </c>
      <c r="N51" s="522">
        <v>0</v>
      </c>
      <c r="O51" s="522">
        <f>IF(L51&gt;0,N51*100/L51,0)</f>
        <v>0</v>
      </c>
      <c r="P51" s="522">
        <f>IF(M51&gt;0,N51*100/M51,0)</f>
        <v>0</v>
      </c>
    </row>
    <row r="52" spans="1:16" ht="18.75" x14ac:dyDescent="0.25">
      <c r="A52" s="652"/>
      <c r="B52" s="420"/>
      <c r="C52" s="420"/>
      <c r="D52" s="420"/>
      <c r="E52" s="295" t="s">
        <v>19</v>
      </c>
      <c r="F52" s="420"/>
      <c r="G52" s="424"/>
      <c r="H52" s="847" t="s">
        <v>12</v>
      </c>
      <c r="I52" s="429"/>
      <c r="J52" s="429"/>
      <c r="K52" s="430"/>
      <c r="L52" s="427">
        <f ca="1">IFERROR(__xludf.DUMMYFUNCTION("IMPORTRANGE(""https://docs.google.com/spreadsheets/d/1-uDff_7J0KD5mKrp0Vvzr7lt3OU09vwQwhkpOPPYv2Y/edit?usp=sharing"",""งบพรบ!S73"")"),0)</f>
        <v>0</v>
      </c>
      <c r="M52" s="427">
        <f ca="1">IFERROR(__xludf.DUMMYFUNCTION("IMPORTRANGE(""https://docs.google.com/spreadsheets/d/1-uDff_7J0KD5mKrp0Vvzr7lt3OU09vwQwhkpOPPYv2Y/edit?usp=sharing"",""งบพรบ!W73"")"),0)</f>
        <v>0</v>
      </c>
      <c r="N52" s="427">
        <f ca="1">IFERROR(__xludf.DUMMYFUNCTION("IMPORTRANGE(""https://docs.google.com/spreadsheets/d/1-uDff_7J0KD5mKrp0Vvzr7lt3OU09vwQwhkpOPPYv2Y/edit?usp=sharing"",""งบพรบ!Z73"")"),0)</f>
        <v>0</v>
      </c>
      <c r="O52" s="427">
        <f ca="1">IF(L52&gt;0,N52*100/L52,0)</f>
        <v>0</v>
      </c>
      <c r="P52" s="427">
        <f ca="1">IF(M52&gt;0,N52*100/M52,0)</f>
        <v>0</v>
      </c>
    </row>
    <row r="53" spans="1:16" ht="18.75" hidden="1" x14ac:dyDescent="0.25">
      <c r="A53" s="652"/>
      <c r="B53" s="420"/>
      <c r="C53" s="420"/>
      <c r="D53" s="735" t="s">
        <v>22</v>
      </c>
      <c r="E53" s="420"/>
      <c r="F53" s="420"/>
      <c r="G53" s="424"/>
      <c r="H53" s="847" t="s">
        <v>12</v>
      </c>
      <c r="I53" s="429"/>
      <c r="J53" s="429"/>
      <c r="K53" s="430"/>
      <c r="L53" s="427"/>
      <c r="M53" s="427"/>
      <c r="N53" s="427"/>
      <c r="O53" s="427"/>
      <c r="P53" s="427"/>
    </row>
    <row r="54" spans="1:16" ht="18.75" hidden="1" x14ac:dyDescent="0.25">
      <c r="A54" s="652"/>
      <c r="B54" s="420"/>
      <c r="C54" s="420"/>
      <c r="D54" s="420"/>
      <c r="E54" s="540" t="s">
        <v>18</v>
      </c>
      <c r="F54" s="420"/>
      <c r="G54" s="424"/>
      <c r="H54" s="579" t="s">
        <v>12</v>
      </c>
      <c r="I54" s="429"/>
      <c r="J54" s="429"/>
      <c r="K54" s="430"/>
      <c r="L54" s="522"/>
      <c r="M54" s="522"/>
      <c r="N54" s="522"/>
      <c r="O54" s="522"/>
      <c r="P54" s="522"/>
    </row>
    <row r="55" spans="1:16" ht="18.75" hidden="1" x14ac:dyDescent="0.25">
      <c r="A55" s="651"/>
      <c r="B55" s="649"/>
      <c r="C55" s="649"/>
      <c r="D55" s="649"/>
      <c r="E55" s="650" t="s">
        <v>19</v>
      </c>
      <c r="F55" s="649"/>
      <c r="G55" s="648"/>
      <c r="H55" s="647" t="s">
        <v>12</v>
      </c>
      <c r="I55" s="646"/>
      <c r="J55" s="646"/>
      <c r="K55" s="645"/>
      <c r="L55" s="644"/>
      <c r="M55" s="644"/>
      <c r="N55" s="644"/>
      <c r="O55" s="644"/>
      <c r="P55" s="644"/>
    </row>
    <row r="56" spans="1:16" ht="19.5" x14ac:dyDescent="0.3">
      <c r="A56" s="940" t="s">
        <v>26</v>
      </c>
      <c r="B56" s="494"/>
      <c r="C56" s="494"/>
      <c r="D56" s="494"/>
      <c r="E56" s="494"/>
      <c r="F56" s="494"/>
      <c r="G56" s="495"/>
      <c r="H56" s="939"/>
      <c r="I56" s="938"/>
      <c r="J56" s="938"/>
      <c r="K56" s="937"/>
      <c r="L56" s="937"/>
      <c r="M56" s="937"/>
      <c r="N56" s="937"/>
      <c r="O56" s="937"/>
      <c r="P56" s="936"/>
    </row>
    <row r="57" spans="1:16" ht="19.5" x14ac:dyDescent="0.3">
      <c r="A57" s="935"/>
      <c r="B57" s="934" t="s">
        <v>27</v>
      </c>
      <c r="C57" s="499"/>
      <c r="D57" s="499"/>
      <c r="E57" s="499"/>
      <c r="F57" s="499"/>
      <c r="G57" s="500"/>
      <c r="H57" s="933"/>
      <c r="I57" s="932"/>
      <c r="J57" s="932"/>
      <c r="K57" s="931"/>
      <c r="L57" s="931"/>
      <c r="M57" s="931"/>
      <c r="N57" s="931"/>
      <c r="O57" s="931"/>
      <c r="P57" s="931"/>
    </row>
    <row r="58" spans="1:16" ht="19.5" x14ac:dyDescent="0.3">
      <c r="A58" s="930"/>
      <c r="B58" s="929" t="s">
        <v>28</v>
      </c>
      <c r="C58" s="928"/>
      <c r="D58" s="928"/>
      <c r="E58" s="928"/>
      <c r="F58" s="928"/>
      <c r="G58" s="927"/>
      <c r="H58" s="927"/>
      <c r="I58" s="926"/>
      <c r="J58" s="926"/>
      <c r="K58" s="925"/>
      <c r="L58" s="925"/>
      <c r="M58" s="925"/>
      <c r="N58" s="925"/>
      <c r="O58" s="925"/>
      <c r="P58" s="925"/>
    </row>
    <row r="59" spans="1:16" ht="19.5" x14ac:dyDescent="0.3">
      <c r="A59" s="920"/>
      <c r="B59" s="918"/>
      <c r="C59" s="924" t="s">
        <v>16</v>
      </c>
      <c r="D59" s="923" t="s">
        <v>17</v>
      </c>
      <c r="E59" s="918"/>
      <c r="F59" s="918"/>
      <c r="G59" s="917"/>
      <c r="H59" s="922" t="s">
        <v>12</v>
      </c>
      <c r="I59" s="915"/>
      <c r="J59" s="915"/>
      <c r="K59" s="914"/>
      <c r="L59" s="921">
        <f ca="1">L60+L61</f>
        <v>567400</v>
      </c>
      <c r="M59" s="921">
        <f ca="1">M60+M61</f>
        <v>427450</v>
      </c>
      <c r="N59" s="921">
        <f ca="1">N60+N61</f>
        <v>329925.03000000003</v>
      </c>
      <c r="O59" s="921">
        <f ca="1">IF(L59&gt;0,N59*100/L59,0)</f>
        <v>58.146815297849848</v>
      </c>
      <c r="P59" s="921">
        <f ca="1">IF(M59&gt;0,N59*100/M59,0)</f>
        <v>77.184473037782212</v>
      </c>
    </row>
    <row r="60" spans="1:16" ht="18.75" hidden="1" x14ac:dyDescent="0.25">
      <c r="A60" s="920"/>
      <c r="B60" s="918"/>
      <c r="C60" s="918"/>
      <c r="D60" s="918"/>
      <c r="E60" s="641" t="s">
        <v>18</v>
      </c>
      <c r="F60" s="918"/>
      <c r="G60" s="917"/>
      <c r="H60" s="638" t="s">
        <v>12</v>
      </c>
      <c r="I60" s="915"/>
      <c r="J60" s="915"/>
      <c r="K60" s="914"/>
      <c r="L60" s="635">
        <f>L63+L66</f>
        <v>0</v>
      </c>
      <c r="M60" s="635">
        <f>M63+M66</f>
        <v>0</v>
      </c>
      <c r="N60" s="635">
        <f>N63+N66</f>
        <v>0</v>
      </c>
      <c r="O60" s="635">
        <f>IF(L60&gt;0,N60*100/L60,0)</f>
        <v>0</v>
      </c>
      <c r="P60" s="635">
        <f>IF(M60&gt;0,N60*100/M60,0)</f>
        <v>0</v>
      </c>
    </row>
    <row r="61" spans="1:16" ht="18.75" x14ac:dyDescent="0.25">
      <c r="A61" s="920"/>
      <c r="B61" s="918"/>
      <c r="C61" s="918"/>
      <c r="D61" s="918"/>
      <c r="E61" s="919" t="s">
        <v>19</v>
      </c>
      <c r="F61" s="918"/>
      <c r="G61" s="917"/>
      <c r="H61" s="916" t="s">
        <v>12</v>
      </c>
      <c r="I61" s="915"/>
      <c r="J61" s="915"/>
      <c r="K61" s="914"/>
      <c r="L61" s="913">
        <f ca="1">L64+L67</f>
        <v>567400</v>
      </c>
      <c r="M61" s="913">
        <f ca="1">M64+M67</f>
        <v>427450</v>
      </c>
      <c r="N61" s="913">
        <f ca="1">N64+N67</f>
        <v>329925.03000000003</v>
      </c>
      <c r="O61" s="913">
        <f ca="1">IF(L61&gt;0,N61*100/L61,0)</f>
        <v>58.146815297849848</v>
      </c>
      <c r="P61" s="913">
        <f ca="1">IF(M61&gt;0,N61*100/M61,0)</f>
        <v>77.184473037782212</v>
      </c>
    </row>
    <row r="62" spans="1:16" ht="18.75" x14ac:dyDescent="0.25">
      <c r="A62" s="652"/>
      <c r="B62" s="420"/>
      <c r="C62" s="420"/>
      <c r="D62" s="735" t="s">
        <v>20</v>
      </c>
      <c r="E62" s="420"/>
      <c r="F62" s="420"/>
      <c r="G62" s="424"/>
      <c r="H62" s="847" t="s">
        <v>12</v>
      </c>
      <c r="I62" s="429"/>
      <c r="J62" s="429"/>
      <c r="K62" s="430"/>
      <c r="L62" s="427">
        <f ca="1">L63+L64</f>
        <v>567400</v>
      </c>
      <c r="M62" s="427">
        <f ca="1">M63+M64</f>
        <v>427450</v>
      </c>
      <c r="N62" s="427">
        <f ca="1">N63+N64</f>
        <v>329925.03000000003</v>
      </c>
      <c r="O62" s="427">
        <f ca="1">IF(L62&gt;0,N62*100/L62,0)</f>
        <v>58.146815297849848</v>
      </c>
      <c r="P62" s="427">
        <f ca="1">IF(M62&gt;0,N62*100/M62,0)</f>
        <v>77.184473037782212</v>
      </c>
    </row>
    <row r="63" spans="1:16" ht="18.75" hidden="1" x14ac:dyDescent="0.25">
      <c r="A63" s="652"/>
      <c r="B63" s="420"/>
      <c r="C63" s="420"/>
      <c r="D63" s="420"/>
      <c r="E63" s="540" t="s">
        <v>18</v>
      </c>
      <c r="F63" s="420"/>
      <c r="G63" s="424"/>
      <c r="H63" s="579" t="s">
        <v>12</v>
      </c>
      <c r="I63" s="429"/>
      <c r="J63" s="429"/>
      <c r="K63" s="430"/>
      <c r="L63" s="522">
        <v>0</v>
      </c>
      <c r="M63" s="522">
        <v>0</v>
      </c>
      <c r="N63" s="522">
        <v>0</v>
      </c>
      <c r="O63" s="522">
        <f>IF(L63&gt;0,N63*100/L63,0)</f>
        <v>0</v>
      </c>
      <c r="P63" s="522">
        <f>IF(M63&gt;0,N63*100/M63,0)</f>
        <v>0</v>
      </c>
    </row>
    <row r="64" spans="1:16" ht="18.75" x14ac:dyDescent="0.25">
      <c r="A64" s="652"/>
      <c r="B64" s="420"/>
      <c r="C64" s="420"/>
      <c r="D64" s="420"/>
      <c r="E64" s="295" t="s">
        <v>19</v>
      </c>
      <c r="F64" s="420"/>
      <c r="G64" s="424"/>
      <c r="H64" s="847" t="s">
        <v>12</v>
      </c>
      <c r="I64" s="429"/>
      <c r="J64" s="429"/>
      <c r="K64" s="430"/>
      <c r="L64" s="427">
        <f ca="1">IFERROR(__xludf.DUMMYFUNCTION("IMPORTRANGE(""https://docs.google.com/spreadsheets/d/1-uDff_7J0KD5mKrp0Vvzr7lt3OU09vwQwhkpOPPYv2Y/edit?usp=sharing"",""งบพรบ!AC73"")"),567400)</f>
        <v>567400</v>
      </c>
      <c r="M64" s="427">
        <f ca="1">IFERROR(__xludf.DUMMYFUNCTION("IMPORTRANGE(""https://docs.google.com/spreadsheets/d/1-uDff_7J0KD5mKrp0Vvzr7lt3OU09vwQwhkpOPPYv2Y/edit?usp=sharing"",""งบพรบ!AH73"")"),427450)</f>
        <v>427450</v>
      </c>
      <c r="N64" s="427">
        <f ca="1">IFERROR(__xludf.DUMMYFUNCTION("IMPORTRANGE(""https://docs.google.com/spreadsheets/d/1-uDff_7J0KD5mKrp0Vvzr7lt3OU09vwQwhkpOPPYv2Y/edit?usp=sharing"",""งบพรบ!AJ73"")"),329925.03)</f>
        <v>329925.03000000003</v>
      </c>
      <c r="O64" s="427">
        <f ca="1">IF(L64&gt;0,N64*100/L64,0)</f>
        <v>58.146815297849848</v>
      </c>
      <c r="P64" s="427">
        <f ca="1">IF(M64&gt;0,N64*100/M64,0)</f>
        <v>77.184473037782212</v>
      </c>
    </row>
    <row r="65" spans="1:16" ht="18.75" x14ac:dyDescent="0.25">
      <c r="A65" s="652"/>
      <c r="B65" s="420"/>
      <c r="C65" s="420"/>
      <c r="D65" s="735" t="s">
        <v>21</v>
      </c>
      <c r="E65" s="420"/>
      <c r="F65" s="420"/>
      <c r="G65" s="424"/>
      <c r="H65" s="847" t="s">
        <v>12</v>
      </c>
      <c r="I65" s="429"/>
      <c r="J65" s="429"/>
      <c r="K65" s="430"/>
      <c r="L65" s="427">
        <f ca="1">L66+L67</f>
        <v>0</v>
      </c>
      <c r="M65" s="427">
        <f ca="1">M66+M67</f>
        <v>0</v>
      </c>
      <c r="N65" s="427">
        <f ca="1">N66+N67</f>
        <v>0</v>
      </c>
      <c r="O65" s="427">
        <f ca="1">IF(L65&gt;0,N65*100/L65,0)</f>
        <v>0</v>
      </c>
      <c r="P65" s="427">
        <f ca="1">IF(M65&gt;0,N65*100/M65,0)</f>
        <v>0</v>
      </c>
    </row>
    <row r="66" spans="1:16" ht="18.75" hidden="1" x14ac:dyDescent="0.25">
      <c r="A66" s="652"/>
      <c r="B66" s="420"/>
      <c r="C66" s="420"/>
      <c r="D66" s="420"/>
      <c r="E66" s="540" t="s">
        <v>18</v>
      </c>
      <c r="F66" s="420"/>
      <c r="G66" s="424"/>
      <c r="H66" s="579" t="s">
        <v>12</v>
      </c>
      <c r="I66" s="429"/>
      <c r="J66" s="429"/>
      <c r="K66" s="430"/>
      <c r="L66" s="522">
        <v>0</v>
      </c>
      <c r="M66" s="522">
        <v>0</v>
      </c>
      <c r="N66" s="522">
        <v>0</v>
      </c>
      <c r="O66" s="522">
        <f>IF(L66&gt;0,N66*100/L66,0)</f>
        <v>0</v>
      </c>
      <c r="P66" s="522">
        <f>IF(M66&gt;0,N66*100/M66,0)</f>
        <v>0</v>
      </c>
    </row>
    <row r="67" spans="1:16" ht="18.75" x14ac:dyDescent="0.25">
      <c r="A67" s="651"/>
      <c r="B67" s="649"/>
      <c r="C67" s="649"/>
      <c r="D67" s="649"/>
      <c r="E67" s="650" t="s">
        <v>19</v>
      </c>
      <c r="F67" s="649"/>
      <c r="G67" s="648"/>
      <c r="H67" s="647" t="s">
        <v>12</v>
      </c>
      <c r="I67" s="646"/>
      <c r="J67" s="646"/>
      <c r="K67" s="645"/>
      <c r="L67" s="644">
        <f ca="1">IFERROR(__xludf.DUMMYFUNCTION("IMPORTRANGE(""https://docs.google.com/spreadsheets/d/1-uDff_7J0KD5mKrp0Vvzr7lt3OU09vwQwhkpOPPYv2Y/edit?usp=sharing"",""งบพรบ!AF73"")"),0)</f>
        <v>0</v>
      </c>
      <c r="M67" s="644">
        <f ca="1">IFERROR(__xludf.DUMMYFUNCTION("IMPORTRANGE(""https://docs.google.com/spreadsheets/d/1-uDff_7J0KD5mKrp0Vvzr7lt3OU09vwQwhkpOPPYv2Y/edit?usp=sharing"",""งบพรบ!AI73"")"),0)</f>
        <v>0</v>
      </c>
      <c r="N67" s="644">
        <f ca="1">IFERROR(__xludf.DUMMYFUNCTION("IMPORTRANGE(""https://docs.google.com/spreadsheets/d/1-uDff_7J0KD5mKrp0Vvzr7lt3OU09vwQwhkpOPPYv2Y/edit?usp=sharing"",""งบพรบ!AK73"")"),0)</f>
        <v>0</v>
      </c>
      <c r="O67" s="644">
        <f ca="1">IF(L67&gt;0,N67*100/L67,0)</f>
        <v>0</v>
      </c>
      <c r="P67" s="644">
        <f ca="1">IF(M67&gt;0,N67*100/M67,0)</f>
        <v>0</v>
      </c>
    </row>
    <row r="68" spans="1:16" ht="19.5" hidden="1" x14ac:dyDescent="0.3">
      <c r="A68" s="911" t="s">
        <v>29</v>
      </c>
      <c r="B68" s="909"/>
      <c r="C68" s="909"/>
      <c r="D68" s="909"/>
      <c r="E68" s="910"/>
      <c r="F68" s="910"/>
      <c r="G68" s="910"/>
      <c r="H68" s="910"/>
      <c r="I68" s="908"/>
      <c r="J68" s="908"/>
      <c r="K68" s="907"/>
      <c r="L68" s="907"/>
      <c r="M68" s="907"/>
      <c r="N68" s="907"/>
      <c r="O68" s="907"/>
      <c r="P68" s="906"/>
    </row>
    <row r="69" spans="1:16" ht="19.5" hidden="1" x14ac:dyDescent="0.3">
      <c r="A69" s="878" t="s">
        <v>30</v>
      </c>
      <c r="B69" s="876"/>
      <c r="C69" s="875"/>
      <c r="D69" s="876"/>
      <c r="E69" s="876"/>
      <c r="F69" s="876"/>
      <c r="G69" s="905"/>
      <c r="H69" s="905"/>
      <c r="I69" s="903"/>
      <c r="J69" s="903"/>
      <c r="K69" s="872"/>
      <c r="L69" s="872"/>
      <c r="M69" s="872"/>
      <c r="N69" s="872"/>
      <c r="O69" s="872"/>
      <c r="P69" s="872"/>
    </row>
    <row r="70" spans="1:16" ht="19.5" hidden="1" x14ac:dyDescent="0.3">
      <c r="A70" s="871"/>
      <c r="B70" s="870" t="s">
        <v>31</v>
      </c>
      <c r="C70" s="869"/>
      <c r="D70" s="881"/>
      <c r="E70" s="869"/>
      <c r="F70" s="869"/>
      <c r="G70" s="868"/>
      <c r="H70" s="1011" t="s">
        <v>32</v>
      </c>
      <c r="I70" s="866">
        <f ca="1">I82</f>
        <v>0</v>
      </c>
      <c r="J70" s="866">
        <f>J82</f>
        <v>0</v>
      </c>
      <c r="K70" s="865">
        <f ca="1">IF(I70&gt;0,J70*100/I70,0)</f>
        <v>0</v>
      </c>
      <c r="L70" s="864"/>
      <c r="M70" s="864"/>
      <c r="N70" s="864"/>
      <c r="O70" s="864"/>
      <c r="P70" s="864"/>
    </row>
    <row r="71" spans="1:16" ht="19.5" hidden="1" x14ac:dyDescent="0.3">
      <c r="A71" s="871"/>
      <c r="B71" s="869"/>
      <c r="C71" s="869"/>
      <c r="D71" s="881"/>
      <c r="E71" s="869"/>
      <c r="F71" s="869"/>
      <c r="G71" s="868"/>
      <c r="H71" s="1011" t="s">
        <v>33</v>
      </c>
      <c r="I71" s="866">
        <f ca="1">I83</f>
        <v>0</v>
      </c>
      <c r="J71" s="866">
        <f>J83</f>
        <v>0</v>
      </c>
      <c r="K71" s="865">
        <f ca="1">IF(I71&gt;0,J71*100/I71,0)</f>
        <v>0</v>
      </c>
      <c r="L71" s="864"/>
      <c r="M71" s="864"/>
      <c r="N71" s="864"/>
      <c r="O71" s="864"/>
      <c r="P71" s="864"/>
    </row>
    <row r="72" spans="1:16" ht="19.5" hidden="1" x14ac:dyDescent="0.3">
      <c r="A72" s="706"/>
      <c r="B72" s="420"/>
      <c r="C72" s="740" t="s">
        <v>16</v>
      </c>
      <c r="D72" s="739" t="s">
        <v>17</v>
      </c>
      <c r="E72" s="420"/>
      <c r="F72" s="420"/>
      <c r="G72" s="424"/>
      <c r="H72" s="738" t="s">
        <v>12</v>
      </c>
      <c r="I72" s="429"/>
      <c r="J72" s="429"/>
      <c r="K72" s="430"/>
      <c r="L72" s="737">
        <f ca="1">L73+L74</f>
        <v>0</v>
      </c>
      <c r="M72" s="737">
        <f ca="1">M73+M74</f>
        <v>0</v>
      </c>
      <c r="N72" s="737">
        <f ca="1">N73+N74</f>
        <v>0</v>
      </c>
      <c r="O72" s="737">
        <f ca="1">IF(L72&gt;0,N72*100/L72,0)</f>
        <v>0</v>
      </c>
      <c r="P72" s="737">
        <f ca="1">IF(M72&gt;0,N72*100/M72,0)</f>
        <v>0</v>
      </c>
    </row>
    <row r="73" spans="1:16" ht="18.75" hidden="1" x14ac:dyDescent="0.25">
      <c r="A73" s="706"/>
      <c r="B73" s="420"/>
      <c r="C73" s="420"/>
      <c r="D73" s="420"/>
      <c r="E73" s="540" t="s">
        <v>18</v>
      </c>
      <c r="F73" s="420"/>
      <c r="G73" s="424"/>
      <c r="H73" s="544" t="s">
        <v>12</v>
      </c>
      <c r="I73" s="429"/>
      <c r="J73" s="429"/>
      <c r="K73" s="430"/>
      <c r="L73" s="522">
        <f>L76+L79</f>
        <v>0</v>
      </c>
      <c r="M73" s="522">
        <f>M76+M79</f>
        <v>0</v>
      </c>
      <c r="N73" s="522">
        <f>N76+N79</f>
        <v>0</v>
      </c>
      <c r="O73" s="522">
        <f>IF(L73&gt;0,N73*100/L73,0)</f>
        <v>0</v>
      </c>
      <c r="P73" s="522">
        <f>IF(M73&gt;0,N73*100/M73,0)</f>
        <v>0</v>
      </c>
    </row>
    <row r="74" spans="1:16" ht="18.75" hidden="1" x14ac:dyDescent="0.25">
      <c r="A74" s="706"/>
      <c r="B74" s="420"/>
      <c r="C74" s="420"/>
      <c r="D74" s="420"/>
      <c r="E74" s="295" t="s">
        <v>19</v>
      </c>
      <c r="F74" s="420"/>
      <c r="G74" s="424"/>
      <c r="H74" s="442" t="s">
        <v>12</v>
      </c>
      <c r="I74" s="429"/>
      <c r="J74" s="429"/>
      <c r="K74" s="430"/>
      <c r="L74" s="427">
        <f ca="1">L77+L80</f>
        <v>0</v>
      </c>
      <c r="M74" s="427">
        <f ca="1">M77+M80</f>
        <v>0</v>
      </c>
      <c r="N74" s="427">
        <f ca="1">N77+N80</f>
        <v>0</v>
      </c>
      <c r="O74" s="427">
        <f ca="1">IF(L74&gt;0,N74*100/L74,0)</f>
        <v>0</v>
      </c>
      <c r="P74" s="427">
        <f ca="1">IF(M74&gt;0,N74*100/M74,0)</f>
        <v>0</v>
      </c>
    </row>
    <row r="75" spans="1:16" ht="18.75" hidden="1" x14ac:dyDescent="0.25">
      <c r="A75" s="706"/>
      <c r="B75" s="420"/>
      <c r="C75" s="420"/>
      <c r="D75" s="735" t="s">
        <v>20</v>
      </c>
      <c r="E75" s="420"/>
      <c r="F75" s="420"/>
      <c r="G75" s="424"/>
      <c r="H75" s="736" t="s">
        <v>12</v>
      </c>
      <c r="I75" s="701"/>
      <c r="J75" s="701"/>
      <c r="K75" s="700"/>
      <c r="L75" s="427">
        <f ca="1">L76+L77</f>
        <v>0</v>
      </c>
      <c r="M75" s="427">
        <f ca="1">M76+M77</f>
        <v>0</v>
      </c>
      <c r="N75" s="427">
        <f ca="1">N76+N77</f>
        <v>0</v>
      </c>
      <c r="O75" s="427">
        <f ca="1">IF(L75&gt;0,N75*100/L75,0)</f>
        <v>0</v>
      </c>
      <c r="P75" s="427">
        <f ca="1">IF(M75&gt;0,N75*100/M75,0)</f>
        <v>0</v>
      </c>
    </row>
    <row r="76" spans="1:16" ht="18.75" hidden="1" x14ac:dyDescent="0.25">
      <c r="A76" s="706"/>
      <c r="B76" s="420"/>
      <c r="C76" s="420"/>
      <c r="D76" s="420"/>
      <c r="E76" s="540" t="s">
        <v>34</v>
      </c>
      <c r="F76" s="420"/>
      <c r="G76" s="424"/>
      <c r="H76" s="542" t="s">
        <v>12</v>
      </c>
      <c r="I76" s="701"/>
      <c r="J76" s="701"/>
      <c r="K76" s="700"/>
      <c r="L76" s="522">
        <v>0</v>
      </c>
      <c r="M76" s="522">
        <v>0</v>
      </c>
      <c r="N76" s="522">
        <v>0</v>
      </c>
      <c r="O76" s="522">
        <f>IF(L76&gt;0,N76*100/L76,0)</f>
        <v>0</v>
      </c>
      <c r="P76" s="522">
        <f>IF(M76&gt;0,N76*100/M76,0)</f>
        <v>0</v>
      </c>
    </row>
    <row r="77" spans="1:16" ht="18.75" hidden="1" x14ac:dyDescent="0.25">
      <c r="A77" s="706"/>
      <c r="B77" s="420"/>
      <c r="C77" s="420"/>
      <c r="D77" s="420"/>
      <c r="E77" s="295" t="s">
        <v>35</v>
      </c>
      <c r="F77" s="420"/>
      <c r="G77" s="424"/>
      <c r="H77" s="736" t="s">
        <v>12</v>
      </c>
      <c r="I77" s="701"/>
      <c r="J77" s="701"/>
      <c r="K77" s="700"/>
      <c r="L77" s="427">
        <f ca="1">IFERROR(__xludf.DUMMYFUNCTION("IMPORTRANGE(""https://docs.google.com/spreadsheets/d/1-uDff_7J0KD5mKrp0Vvzr7lt3OU09vwQwhkpOPPYv2Y/edit?usp=sharing"",""งบพรบ!AM73"")"),0)</f>
        <v>0</v>
      </c>
      <c r="M77" s="427">
        <f ca="1">IFERROR(__xludf.DUMMYFUNCTION("IMPORTRANGE(""https://docs.google.com/spreadsheets/d/1-uDff_7J0KD5mKrp0Vvzr7lt3OU09vwQwhkpOPPYv2Y/edit?usp=sharing"",""งบพรบ!AR73"")"),0)</f>
        <v>0</v>
      </c>
      <c r="N77" s="427">
        <f ca="1">IFERROR(__xludf.DUMMYFUNCTION("IMPORTRANGE(""https://docs.google.com/spreadsheets/d/1-uDff_7J0KD5mKrp0Vvzr7lt3OU09vwQwhkpOPPYv2Y/edit?usp=sharing"",""งบพรบ!AT73"")"),0)</f>
        <v>0</v>
      </c>
      <c r="O77" s="427">
        <f ca="1">IF(L77&gt;0,N77*100/L77,0)</f>
        <v>0</v>
      </c>
      <c r="P77" s="427">
        <f ca="1">IF(M77&gt;0,N77*100/M77,0)</f>
        <v>0</v>
      </c>
    </row>
    <row r="78" spans="1:16" ht="18.75" hidden="1" x14ac:dyDescent="0.25">
      <c r="A78" s="706"/>
      <c r="B78" s="420"/>
      <c r="C78" s="420"/>
      <c r="D78" s="735" t="s">
        <v>21</v>
      </c>
      <c r="E78" s="420"/>
      <c r="F78" s="420"/>
      <c r="G78" s="424"/>
      <c r="H78" s="727" t="s">
        <v>12</v>
      </c>
      <c r="I78" s="701"/>
      <c r="J78" s="701"/>
      <c r="K78" s="700"/>
      <c r="L78" s="427">
        <f ca="1">L79+L80</f>
        <v>0</v>
      </c>
      <c r="M78" s="427">
        <f ca="1">M79+M80</f>
        <v>0</v>
      </c>
      <c r="N78" s="427">
        <f ca="1">N79+N80</f>
        <v>0</v>
      </c>
      <c r="O78" s="427">
        <f ca="1">IF(L78&gt;0,N78*100/L78,0)</f>
        <v>0</v>
      </c>
      <c r="P78" s="427">
        <f ca="1">IF(M78&gt;0,N78*100/M78,0)</f>
        <v>0</v>
      </c>
    </row>
    <row r="79" spans="1:16" ht="18.75" hidden="1" x14ac:dyDescent="0.25">
      <c r="A79" s="706"/>
      <c r="B79" s="420"/>
      <c r="C79" s="420"/>
      <c r="D79" s="420"/>
      <c r="E79" s="540" t="s">
        <v>18</v>
      </c>
      <c r="F79" s="420"/>
      <c r="G79" s="424"/>
      <c r="H79" s="542" t="s">
        <v>12</v>
      </c>
      <c r="I79" s="701"/>
      <c r="J79" s="701"/>
      <c r="K79" s="700"/>
      <c r="L79" s="522">
        <v>0</v>
      </c>
      <c r="M79" s="430"/>
      <c r="N79" s="430"/>
      <c r="O79" s="522">
        <f>IF(L79&gt;0,N79*100/L79,0)</f>
        <v>0</v>
      </c>
      <c r="P79" s="522">
        <f>IF(M79&gt;0,N79*100/M79,0)</f>
        <v>0</v>
      </c>
    </row>
    <row r="80" spans="1:16" ht="18.75" hidden="1" x14ac:dyDescent="0.25">
      <c r="A80" s="706"/>
      <c r="B80" s="420"/>
      <c r="C80" s="420"/>
      <c r="D80" s="420"/>
      <c r="E80" s="295" t="s">
        <v>19</v>
      </c>
      <c r="F80" s="420"/>
      <c r="G80" s="424"/>
      <c r="H80" s="727" t="s">
        <v>12</v>
      </c>
      <c r="I80" s="701"/>
      <c r="J80" s="701"/>
      <c r="K80" s="700"/>
      <c r="L80" s="427">
        <f ca="1">IFERROR(__xludf.DUMMYFUNCTION("IMPORTRANGE(""https://docs.google.com/spreadsheets/d/1-uDff_7J0KD5mKrp0Vvzr7lt3OU09vwQwhkpOPPYv2Y/edit?usp=sharing"",""งบพรบ!AP73"")"),0)</f>
        <v>0</v>
      </c>
      <c r="M80" s="427">
        <f ca="1">IFERROR(__xludf.DUMMYFUNCTION("IMPORTRANGE(""https://docs.google.com/spreadsheets/d/1-uDff_7J0KD5mKrp0Vvzr7lt3OU09vwQwhkpOPPYv2Y/edit?usp=sharing"",""งบพรบ!AS73"")"),0)</f>
        <v>0</v>
      </c>
      <c r="N80" s="427">
        <f ca="1">IFERROR(__xludf.DUMMYFUNCTION("IMPORTRANGE(""https://docs.google.com/spreadsheets/d/1-uDff_7J0KD5mKrp0Vvzr7lt3OU09vwQwhkpOPPYv2Y/edit?usp=sharing"",""งบพรบ!AU73"")"),0)</f>
        <v>0</v>
      </c>
      <c r="O80" s="427">
        <f ca="1">IF(L80&gt;0,N80*100/L80,0)</f>
        <v>0</v>
      </c>
      <c r="P80" s="427">
        <f ca="1">IF(M80&gt;0,N80*100/M80,0)</f>
        <v>0</v>
      </c>
    </row>
    <row r="81" spans="1:16" ht="19.5" hidden="1" x14ac:dyDescent="0.3">
      <c r="A81" s="705"/>
      <c r="B81" s="432"/>
      <c r="C81" s="740" t="s">
        <v>16</v>
      </c>
      <c r="D81" s="759" t="s">
        <v>36</v>
      </c>
      <c r="E81" s="704"/>
      <c r="F81" s="704"/>
      <c r="G81" s="703"/>
      <c r="H81" s="702"/>
      <c r="I81" s="701"/>
      <c r="J81" s="701"/>
      <c r="K81" s="700"/>
      <c r="L81" s="700"/>
      <c r="M81" s="700"/>
      <c r="N81" s="700"/>
      <c r="O81" s="700"/>
      <c r="P81" s="700"/>
    </row>
    <row r="82" spans="1:16" ht="19.5" hidden="1" x14ac:dyDescent="0.3">
      <c r="A82" s="705"/>
      <c r="B82" s="432"/>
      <c r="C82" s="432"/>
      <c r="D82" s="728" t="s">
        <v>37</v>
      </c>
      <c r="E82" s="422"/>
      <c r="F82" s="422"/>
      <c r="G82" s="702"/>
      <c r="H82" s="795" t="s">
        <v>32</v>
      </c>
      <c r="I82" s="794">
        <f ca="1">I84+I86+I88</f>
        <v>0</v>
      </c>
      <c r="J82" s="794">
        <f>J84+J86+J88</f>
        <v>0</v>
      </c>
      <c r="K82" s="793">
        <f ca="1">IF(I82&gt;0,J82*100/I82,0)</f>
        <v>0</v>
      </c>
      <c r="L82" s="700"/>
      <c r="M82" s="700"/>
      <c r="N82" s="700"/>
      <c r="O82" s="700"/>
      <c r="P82" s="700"/>
    </row>
    <row r="83" spans="1:16" ht="19.5" hidden="1" x14ac:dyDescent="0.3">
      <c r="A83" s="705"/>
      <c r="B83" s="432"/>
      <c r="C83" s="432"/>
      <c r="D83" s="432"/>
      <c r="E83" s="422"/>
      <c r="F83" s="422"/>
      <c r="G83" s="702"/>
      <c r="H83" s="795" t="s">
        <v>33</v>
      </c>
      <c r="I83" s="794">
        <f ca="1">I85+I87+I89</f>
        <v>0</v>
      </c>
      <c r="J83" s="794">
        <f>J85+J87+J89</f>
        <v>0</v>
      </c>
      <c r="K83" s="793">
        <f ca="1">IF(I83&gt;0,J83*100/I83,0)</f>
        <v>0</v>
      </c>
      <c r="L83" s="700"/>
      <c r="M83" s="700"/>
      <c r="N83" s="700"/>
      <c r="O83" s="700"/>
      <c r="P83" s="700"/>
    </row>
    <row r="84" spans="1:16" ht="18.75" hidden="1" x14ac:dyDescent="0.25">
      <c r="A84" s="705"/>
      <c r="B84" s="432"/>
      <c r="C84" s="432"/>
      <c r="D84" s="432"/>
      <c r="E84" s="423" t="s">
        <v>38</v>
      </c>
      <c r="F84" s="422"/>
      <c r="G84" s="702"/>
      <c r="H84" s="791" t="s">
        <v>32</v>
      </c>
      <c r="I84" s="790">
        <f ca="1">IFERROR(__xludf.DUMMYFUNCTION("IMPORTRANGE(""https://docs.google.com/spreadsheets/d/1eHaY18a8A9IcSdp1K8H6x8fbOy06t2VsZHhMHf-1x7Y/edit?usp=sharing"",""แผน!H73"")"),0)</f>
        <v>0</v>
      </c>
      <c r="J84" s="758">
        <v>0</v>
      </c>
      <c r="K84" s="789">
        <f ca="1">IF(I84&gt;0,J84*100/I84,0)</f>
        <v>0</v>
      </c>
      <c r="L84" s="700"/>
      <c r="M84" s="700"/>
      <c r="N84" s="700"/>
      <c r="O84" s="700"/>
      <c r="P84" s="700"/>
    </row>
    <row r="85" spans="1:16" ht="18.75" hidden="1" x14ac:dyDescent="0.25">
      <c r="A85" s="705"/>
      <c r="B85" s="432"/>
      <c r="C85" s="432"/>
      <c r="D85" s="432"/>
      <c r="E85" s="422"/>
      <c r="F85" s="422"/>
      <c r="G85" s="702"/>
      <c r="H85" s="791" t="s">
        <v>33</v>
      </c>
      <c r="I85" s="790">
        <f ca="1">IFERROR(__xludf.DUMMYFUNCTION("IMPORTRANGE(""https://docs.google.com/spreadsheets/d/1eHaY18a8A9IcSdp1K8H6x8fbOy06t2VsZHhMHf-1x7Y/edit?usp=sharing"",""แผน!I73"")"),0)</f>
        <v>0</v>
      </c>
      <c r="J85" s="758">
        <v>0</v>
      </c>
      <c r="K85" s="789">
        <f ca="1">IF(I85&gt;0,J85*100/I85,0)</f>
        <v>0</v>
      </c>
      <c r="L85" s="700"/>
      <c r="M85" s="700"/>
      <c r="N85" s="700"/>
      <c r="O85" s="700"/>
      <c r="P85" s="700"/>
    </row>
    <row r="86" spans="1:16" ht="18.75" hidden="1" x14ac:dyDescent="0.25">
      <c r="A86" s="705"/>
      <c r="B86" s="432"/>
      <c r="C86" s="432"/>
      <c r="D86" s="432"/>
      <c r="E86" s="423" t="s">
        <v>39</v>
      </c>
      <c r="F86" s="422"/>
      <c r="G86" s="702"/>
      <c r="H86" s="791" t="s">
        <v>32</v>
      </c>
      <c r="I86" s="790">
        <f ca="1">IFERROR(__xludf.DUMMYFUNCTION("IMPORTRANGE(""https://docs.google.com/spreadsheets/d/1eHaY18a8A9IcSdp1K8H6x8fbOy06t2VsZHhMHf-1x7Y/edit?usp=sharing"",""แผน!F73"")"),0)</f>
        <v>0</v>
      </c>
      <c r="J86" s="758">
        <v>0</v>
      </c>
      <c r="K86" s="789">
        <f ca="1">IF(I86&gt;0,J86*100/I86,0)</f>
        <v>0</v>
      </c>
      <c r="L86" s="700"/>
      <c r="M86" s="700"/>
      <c r="N86" s="700"/>
      <c r="O86" s="700"/>
      <c r="P86" s="700"/>
    </row>
    <row r="87" spans="1:16" ht="18.75" hidden="1" x14ac:dyDescent="0.25">
      <c r="A87" s="705"/>
      <c r="B87" s="432"/>
      <c r="C87" s="432"/>
      <c r="D87" s="432"/>
      <c r="E87" s="422"/>
      <c r="F87" s="422"/>
      <c r="G87" s="702"/>
      <c r="H87" s="791" t="s">
        <v>33</v>
      </c>
      <c r="I87" s="790">
        <f ca="1">IFERROR(__xludf.DUMMYFUNCTION("IMPORTRANGE(""https://docs.google.com/spreadsheets/d/1eHaY18a8A9IcSdp1K8H6x8fbOy06t2VsZHhMHf-1x7Y/edit?usp=sharing"",""แผน!G73"")"),0)</f>
        <v>0</v>
      </c>
      <c r="J87" s="758">
        <v>0</v>
      </c>
      <c r="K87" s="789">
        <f ca="1">IF(I87&gt;0,J87*100/I87,0)</f>
        <v>0</v>
      </c>
      <c r="L87" s="700"/>
      <c r="M87" s="700"/>
      <c r="N87" s="700"/>
      <c r="O87" s="700"/>
      <c r="P87" s="700"/>
    </row>
    <row r="88" spans="1:16" ht="18.75" hidden="1" x14ac:dyDescent="0.25">
      <c r="A88" s="705"/>
      <c r="B88" s="432"/>
      <c r="C88" s="432"/>
      <c r="D88" s="432"/>
      <c r="E88" s="423" t="s">
        <v>40</v>
      </c>
      <c r="F88" s="422"/>
      <c r="G88" s="702"/>
      <c r="H88" s="791" t="s">
        <v>32</v>
      </c>
      <c r="I88" s="790">
        <f ca="1">IFERROR(__xludf.DUMMYFUNCTION("IMPORTRANGE(""https://docs.google.com/spreadsheets/d/1eHaY18a8A9IcSdp1K8H6x8fbOy06t2VsZHhMHf-1x7Y/edit?usp=sharing"",""แผน!D73"")"),0)</f>
        <v>0</v>
      </c>
      <c r="J88" s="758">
        <v>0</v>
      </c>
      <c r="K88" s="789">
        <f ca="1">IF(I88&gt;0,J88*100/I88,0)</f>
        <v>0</v>
      </c>
      <c r="L88" s="700"/>
      <c r="M88" s="700"/>
      <c r="N88" s="700"/>
      <c r="O88" s="700"/>
      <c r="P88" s="700"/>
    </row>
    <row r="89" spans="1:16" ht="18.75" hidden="1" x14ac:dyDescent="0.25">
      <c r="A89" s="705"/>
      <c r="B89" s="432"/>
      <c r="C89" s="432"/>
      <c r="D89" s="432"/>
      <c r="E89" s="422"/>
      <c r="F89" s="422"/>
      <c r="G89" s="702"/>
      <c r="H89" s="791" t="s">
        <v>33</v>
      </c>
      <c r="I89" s="790">
        <f ca="1">IFERROR(__xludf.DUMMYFUNCTION("IMPORTRANGE(""https://docs.google.com/spreadsheets/d/1eHaY18a8A9IcSdp1K8H6x8fbOy06t2VsZHhMHf-1x7Y/edit?usp=sharing"",""แผน!E73"")"),0)</f>
        <v>0</v>
      </c>
      <c r="J89" s="758">
        <v>0</v>
      </c>
      <c r="K89" s="789">
        <f ca="1">IF(I89&gt;0,J89*100/I89,0)</f>
        <v>0</v>
      </c>
      <c r="L89" s="700"/>
      <c r="M89" s="700"/>
      <c r="N89" s="700"/>
      <c r="O89" s="700"/>
      <c r="P89" s="700"/>
    </row>
    <row r="90" spans="1:16" ht="18.75" hidden="1" x14ac:dyDescent="0.25">
      <c r="A90" s="705"/>
      <c r="B90" s="432"/>
      <c r="C90" s="432"/>
      <c r="D90" s="728" t="s">
        <v>41</v>
      </c>
      <c r="E90" s="422"/>
      <c r="F90" s="422"/>
      <c r="G90" s="702"/>
      <c r="H90" s="729" t="s">
        <v>32</v>
      </c>
      <c r="I90" s="790">
        <f ca="1">IFERROR(__xludf.DUMMYFUNCTION("IMPORTRANGE(""https://docs.google.com/spreadsheets/d/1eHaY18a8A9IcSdp1K8H6x8fbOy06t2VsZHhMHf-1x7Y/edit?usp=sharing"",""แผน!J73"")"),0)</f>
        <v>0</v>
      </c>
      <c r="J90" s="758">
        <v>0</v>
      </c>
      <c r="K90" s="789">
        <f ca="1">IF(I90&gt;0,J90*100/I90,0)</f>
        <v>0</v>
      </c>
      <c r="L90" s="700"/>
      <c r="M90" s="700"/>
      <c r="N90" s="700"/>
      <c r="O90" s="700"/>
      <c r="P90" s="700"/>
    </row>
    <row r="91" spans="1:16" ht="19.5" hidden="1" x14ac:dyDescent="0.3">
      <c r="A91" s="878" t="s">
        <v>42</v>
      </c>
      <c r="B91" s="876"/>
      <c r="C91" s="875"/>
      <c r="D91" s="876"/>
      <c r="E91" s="876"/>
      <c r="F91" s="876"/>
      <c r="G91" s="905"/>
      <c r="H91" s="905"/>
      <c r="I91" s="903"/>
      <c r="J91" s="903"/>
      <c r="K91" s="872"/>
      <c r="L91" s="872"/>
      <c r="M91" s="872"/>
      <c r="N91" s="872"/>
      <c r="O91" s="872"/>
      <c r="P91" s="872"/>
    </row>
    <row r="92" spans="1:16" ht="19.5" hidden="1" x14ac:dyDescent="0.3">
      <c r="A92" s="871"/>
      <c r="B92" s="870" t="s">
        <v>43</v>
      </c>
      <c r="C92" s="869"/>
      <c r="D92" s="881"/>
      <c r="E92" s="869"/>
      <c r="F92" s="869"/>
      <c r="G92" s="868"/>
      <c r="H92" s="1011" t="s">
        <v>44</v>
      </c>
      <c r="I92" s="866">
        <f ca="1">I108</f>
        <v>0</v>
      </c>
      <c r="J92" s="866">
        <f>J108</f>
        <v>0</v>
      </c>
      <c r="K92" s="865">
        <f ca="1">IF(I92&gt;0,J92*100/I92,0)</f>
        <v>0</v>
      </c>
      <c r="L92" s="864"/>
      <c r="M92" s="864"/>
      <c r="N92" s="864"/>
      <c r="O92" s="864"/>
      <c r="P92" s="864"/>
    </row>
    <row r="93" spans="1:16" ht="19.5" hidden="1" x14ac:dyDescent="0.3">
      <c r="A93" s="871"/>
      <c r="B93" s="869"/>
      <c r="C93" s="869"/>
      <c r="D93" s="881"/>
      <c r="E93" s="869"/>
      <c r="F93" s="869"/>
      <c r="G93" s="868"/>
      <c r="H93" s="1011" t="s">
        <v>33</v>
      </c>
      <c r="I93" s="866">
        <f ca="1">I109</f>
        <v>0</v>
      </c>
      <c r="J93" s="866">
        <f>J109</f>
        <v>0</v>
      </c>
      <c r="K93" s="865">
        <f ca="1">IF(I93&gt;0,J93*100/I93,0)</f>
        <v>0</v>
      </c>
      <c r="L93" s="864"/>
      <c r="M93" s="864"/>
      <c r="N93" s="864"/>
      <c r="O93" s="864"/>
      <c r="P93" s="864"/>
    </row>
    <row r="94" spans="1:16" ht="19.5" hidden="1" x14ac:dyDescent="0.3">
      <c r="A94" s="706"/>
      <c r="B94" s="420"/>
      <c r="C94" s="740" t="s">
        <v>16</v>
      </c>
      <c r="D94" s="739" t="s">
        <v>17</v>
      </c>
      <c r="E94" s="420"/>
      <c r="F94" s="420"/>
      <c r="G94" s="424"/>
      <c r="H94" s="738" t="s">
        <v>12</v>
      </c>
      <c r="I94" s="429"/>
      <c r="J94" s="429"/>
      <c r="K94" s="430"/>
      <c r="L94" s="737">
        <f ca="1">L95+L96</f>
        <v>0</v>
      </c>
      <c r="M94" s="737">
        <f ca="1">M95+M96</f>
        <v>0</v>
      </c>
      <c r="N94" s="737">
        <f ca="1">N95+N96</f>
        <v>0</v>
      </c>
      <c r="O94" s="737">
        <f ca="1">IF(L94&gt;0,N94*100/L94,0)</f>
        <v>0</v>
      </c>
      <c r="P94" s="737">
        <f ca="1">IF(M94&gt;0,N94*100/M94,0)</f>
        <v>0</v>
      </c>
    </row>
    <row r="95" spans="1:16" ht="18.75" hidden="1" x14ac:dyDescent="0.25">
      <c r="A95" s="706"/>
      <c r="B95" s="420"/>
      <c r="C95" s="420"/>
      <c r="D95" s="420"/>
      <c r="E95" s="540" t="s">
        <v>18</v>
      </c>
      <c r="F95" s="420"/>
      <c r="G95" s="424"/>
      <c r="H95" s="544" t="s">
        <v>12</v>
      </c>
      <c r="I95" s="429"/>
      <c r="J95" s="429"/>
      <c r="K95" s="430"/>
      <c r="L95" s="522">
        <f>L98+L101</f>
        <v>0</v>
      </c>
      <c r="M95" s="522">
        <f>M98+M101</f>
        <v>0</v>
      </c>
      <c r="N95" s="522">
        <f>N98+N101</f>
        <v>0</v>
      </c>
      <c r="O95" s="522">
        <f>IF(L95&gt;0,N95*100/L95,0)</f>
        <v>0</v>
      </c>
      <c r="P95" s="522">
        <f>IF(M95&gt;0,N95*100/M95,0)</f>
        <v>0</v>
      </c>
    </row>
    <row r="96" spans="1:16" ht="18.75" hidden="1" x14ac:dyDescent="0.25">
      <c r="A96" s="706"/>
      <c r="B96" s="420"/>
      <c r="C96" s="420"/>
      <c r="D96" s="420"/>
      <c r="E96" s="295" t="s">
        <v>19</v>
      </c>
      <c r="F96" s="420"/>
      <c r="G96" s="424"/>
      <c r="H96" s="442" t="s">
        <v>12</v>
      </c>
      <c r="I96" s="429"/>
      <c r="J96" s="429"/>
      <c r="K96" s="430"/>
      <c r="L96" s="427">
        <f ca="1">L99+L102</f>
        <v>0</v>
      </c>
      <c r="M96" s="427">
        <f ca="1">M99+M102</f>
        <v>0</v>
      </c>
      <c r="N96" s="427">
        <f ca="1">N99+N102</f>
        <v>0</v>
      </c>
      <c r="O96" s="427">
        <f ca="1">IF(L96&gt;0,N96*100/L96,0)</f>
        <v>0</v>
      </c>
      <c r="P96" s="427">
        <f ca="1">IF(M96&gt;0,N96*100/M96,0)</f>
        <v>0</v>
      </c>
    </row>
    <row r="97" spans="1:16" ht="18.75" hidden="1" x14ac:dyDescent="0.25">
      <c r="A97" s="706"/>
      <c r="B97" s="420"/>
      <c r="C97" s="420"/>
      <c r="D97" s="735" t="s">
        <v>20</v>
      </c>
      <c r="E97" s="420"/>
      <c r="F97" s="420"/>
      <c r="G97" s="424"/>
      <c r="H97" s="736" t="s">
        <v>12</v>
      </c>
      <c r="I97" s="701"/>
      <c r="J97" s="701"/>
      <c r="K97" s="700"/>
      <c r="L97" s="427">
        <f ca="1">L98+L99</f>
        <v>0</v>
      </c>
      <c r="M97" s="427">
        <f ca="1">M98+M99</f>
        <v>0</v>
      </c>
      <c r="N97" s="427">
        <f ca="1">N98+N99</f>
        <v>0</v>
      </c>
      <c r="O97" s="427">
        <f ca="1">IF(L97&gt;0,N97*100/L97,0)</f>
        <v>0</v>
      </c>
      <c r="P97" s="427">
        <f ca="1">IF(M97&gt;0,N97*100/M97,0)</f>
        <v>0</v>
      </c>
    </row>
    <row r="98" spans="1:16" ht="18.75" hidden="1" x14ac:dyDescent="0.25">
      <c r="A98" s="706"/>
      <c r="B98" s="420"/>
      <c r="C98" s="420"/>
      <c r="D98" s="420"/>
      <c r="E98" s="540" t="s">
        <v>34</v>
      </c>
      <c r="F98" s="420"/>
      <c r="G98" s="424"/>
      <c r="H98" s="542" t="s">
        <v>12</v>
      </c>
      <c r="I98" s="701"/>
      <c r="J98" s="701"/>
      <c r="K98" s="700"/>
      <c r="L98" s="522">
        <v>0</v>
      </c>
      <c r="M98" s="522">
        <v>0</v>
      </c>
      <c r="N98" s="522">
        <v>0</v>
      </c>
      <c r="O98" s="522">
        <f>IF(L98&gt;0,N98*100/L98,0)</f>
        <v>0</v>
      </c>
      <c r="P98" s="522">
        <f>IF(M98&gt;0,N98*100/M98,0)</f>
        <v>0</v>
      </c>
    </row>
    <row r="99" spans="1:16" ht="18.75" hidden="1" x14ac:dyDescent="0.25">
      <c r="A99" s="706"/>
      <c r="B99" s="420"/>
      <c r="C99" s="420"/>
      <c r="D99" s="420"/>
      <c r="E99" s="295" t="s">
        <v>35</v>
      </c>
      <c r="F99" s="420"/>
      <c r="G99" s="424"/>
      <c r="H99" s="736" t="s">
        <v>12</v>
      </c>
      <c r="I99" s="701"/>
      <c r="J99" s="701"/>
      <c r="K99" s="700"/>
      <c r="L99" s="427">
        <f ca="1">IFERROR(__xludf.DUMMYFUNCTION("IMPORTRANGE(""https://docs.google.com/spreadsheets/d/1-uDff_7J0KD5mKrp0Vvzr7lt3OU09vwQwhkpOPPYv2Y/edit?usp=sharing"",""งบพรบ!AW73"")"),0)</f>
        <v>0</v>
      </c>
      <c r="M99" s="427">
        <f ca="1">IFERROR(__xludf.DUMMYFUNCTION("IMPORTRANGE(""https://docs.google.com/spreadsheets/d/1-uDff_7J0KD5mKrp0Vvzr7lt3OU09vwQwhkpOPPYv2Y/edit?usp=sharing"",""งบพรบ!BB73"")"),0)</f>
        <v>0</v>
      </c>
      <c r="N99" s="427">
        <f ca="1">IFERROR(__xludf.DUMMYFUNCTION("IMPORTRANGE(""https://docs.google.com/spreadsheets/d/1-uDff_7J0KD5mKrp0Vvzr7lt3OU09vwQwhkpOPPYv2Y/edit?usp=sharing"",""งบพรบ!BD73"")"),0)</f>
        <v>0</v>
      </c>
      <c r="O99" s="427">
        <f ca="1">IF(L99&gt;0,N99*100/L99,0)</f>
        <v>0</v>
      </c>
      <c r="P99" s="427">
        <f ca="1">IF(M99&gt;0,N99*100/M99,0)</f>
        <v>0</v>
      </c>
    </row>
    <row r="100" spans="1:16" ht="18.75" hidden="1" x14ac:dyDescent="0.25">
      <c r="A100" s="706"/>
      <c r="B100" s="420"/>
      <c r="C100" s="420"/>
      <c r="D100" s="735" t="s">
        <v>21</v>
      </c>
      <c r="E100" s="420"/>
      <c r="F100" s="420"/>
      <c r="G100" s="424"/>
      <c r="H100" s="727" t="s">
        <v>12</v>
      </c>
      <c r="I100" s="701"/>
      <c r="J100" s="701"/>
      <c r="K100" s="700"/>
      <c r="L100" s="427">
        <f ca="1">L101+L102</f>
        <v>0</v>
      </c>
      <c r="M100" s="427">
        <f ca="1">M101+M102</f>
        <v>0</v>
      </c>
      <c r="N100" s="427">
        <f ca="1">N101+N102</f>
        <v>0</v>
      </c>
      <c r="O100" s="427">
        <f ca="1">IF(L100&gt;0,N100*100/L100,0)</f>
        <v>0</v>
      </c>
      <c r="P100" s="427">
        <f ca="1">IF(M100&gt;0,N100*100/M100,0)</f>
        <v>0</v>
      </c>
    </row>
    <row r="101" spans="1:16" ht="18.75" hidden="1" x14ac:dyDescent="0.25">
      <c r="A101" s="706"/>
      <c r="B101" s="420"/>
      <c r="C101" s="420"/>
      <c r="D101" s="420"/>
      <c r="E101" s="540" t="s">
        <v>18</v>
      </c>
      <c r="F101" s="420"/>
      <c r="G101" s="424"/>
      <c r="H101" s="542" t="s">
        <v>12</v>
      </c>
      <c r="I101" s="701"/>
      <c r="J101" s="701"/>
      <c r="K101" s="700"/>
      <c r="L101" s="522">
        <v>0</v>
      </c>
      <c r="M101" s="522">
        <v>0</v>
      </c>
      <c r="N101" s="522">
        <v>0</v>
      </c>
      <c r="O101" s="522">
        <f>IF(L101&gt;0,N101*100/L101,0)</f>
        <v>0</v>
      </c>
      <c r="P101" s="522">
        <f>IF(M101&gt;0,N101*100/M101,0)</f>
        <v>0</v>
      </c>
    </row>
    <row r="102" spans="1:16" ht="18.75" hidden="1" x14ac:dyDescent="0.25">
      <c r="A102" s="706"/>
      <c r="B102" s="420"/>
      <c r="C102" s="420"/>
      <c r="D102" s="420"/>
      <c r="E102" s="295" t="s">
        <v>19</v>
      </c>
      <c r="F102" s="420"/>
      <c r="G102" s="424"/>
      <c r="H102" s="727" t="s">
        <v>12</v>
      </c>
      <c r="I102" s="701"/>
      <c r="J102" s="701"/>
      <c r="K102" s="700"/>
      <c r="L102" s="427">
        <f ca="1">IFERROR(__xludf.DUMMYFUNCTION("IMPORTRANGE(""https://docs.google.com/spreadsheets/d/1-uDff_7J0KD5mKrp0Vvzr7lt3OU09vwQwhkpOPPYv2Y/edit?usp=sharing"",""งบพรบ!AZ73"")"),0)</f>
        <v>0</v>
      </c>
      <c r="M102" s="427">
        <f ca="1">IFERROR(__xludf.DUMMYFUNCTION("IMPORTRANGE(""https://docs.google.com/spreadsheets/d/1-uDff_7J0KD5mKrp0Vvzr7lt3OU09vwQwhkpOPPYv2Y/edit?usp=sharing"",""งบพรบ!BC73"")"),0)</f>
        <v>0</v>
      </c>
      <c r="N102" s="427">
        <f ca="1">IFERROR(__xludf.DUMMYFUNCTION("IMPORTRANGE(""https://docs.google.com/spreadsheets/d/1-uDff_7J0KD5mKrp0Vvzr7lt3OU09vwQwhkpOPPYv2Y/edit?usp=sharing"",""งบพรบ!BE73"")"),0)</f>
        <v>0</v>
      </c>
      <c r="O102" s="427">
        <f ca="1">IF(L102&gt;0,N102*100/L102,0)</f>
        <v>0</v>
      </c>
      <c r="P102" s="427">
        <f ca="1">IF(M102&gt;0,N102*100/M102,0)</f>
        <v>0</v>
      </c>
    </row>
    <row r="103" spans="1:16" ht="19.5" hidden="1" x14ac:dyDescent="0.3">
      <c r="A103" s="705"/>
      <c r="B103" s="432"/>
      <c r="C103" s="740" t="s">
        <v>16</v>
      </c>
      <c r="D103" s="759" t="s">
        <v>36</v>
      </c>
      <c r="E103" s="704"/>
      <c r="F103" s="704"/>
      <c r="G103" s="703"/>
      <c r="H103" s="702"/>
      <c r="I103" s="701"/>
      <c r="J103" s="429"/>
      <c r="K103" s="430"/>
      <c r="L103" s="430"/>
      <c r="M103" s="430"/>
      <c r="N103" s="430"/>
      <c r="O103" s="700"/>
      <c r="P103" s="700"/>
    </row>
    <row r="104" spans="1:16" ht="12.75" hidden="1" x14ac:dyDescent="0.2">
      <c r="A104" s="788"/>
      <c r="B104" s="787"/>
      <c r="C104" s="787"/>
      <c r="D104" s="786"/>
      <c r="E104" s="786"/>
      <c r="F104" s="786"/>
      <c r="G104" s="785"/>
      <c r="H104" s="785"/>
      <c r="I104" s="783"/>
      <c r="J104" s="783"/>
      <c r="K104" s="782"/>
      <c r="L104" s="782"/>
      <c r="M104" s="782"/>
      <c r="N104" s="782"/>
      <c r="O104" s="782"/>
      <c r="P104" s="782"/>
    </row>
    <row r="105" spans="1:16" ht="12.75" hidden="1" x14ac:dyDescent="0.2">
      <c r="A105" s="788"/>
      <c r="B105" s="787"/>
      <c r="C105" s="787"/>
      <c r="D105" s="786"/>
      <c r="E105" s="786"/>
      <c r="F105" s="786"/>
      <c r="G105" s="785"/>
      <c r="H105" s="785"/>
      <c r="I105" s="783"/>
      <c r="J105" s="783"/>
      <c r="K105" s="782"/>
      <c r="L105" s="782"/>
      <c r="M105" s="782"/>
      <c r="N105" s="782"/>
      <c r="O105" s="782"/>
      <c r="P105" s="782"/>
    </row>
    <row r="106" spans="1:16" ht="12.75" hidden="1" x14ac:dyDescent="0.2">
      <c r="A106" s="788"/>
      <c r="B106" s="787"/>
      <c r="C106" s="787"/>
      <c r="D106" s="787"/>
      <c r="E106" s="786"/>
      <c r="F106" s="786"/>
      <c r="G106" s="785"/>
      <c r="H106" s="785"/>
      <c r="I106" s="783"/>
      <c r="J106" s="783"/>
      <c r="K106" s="782"/>
      <c r="L106" s="782"/>
      <c r="M106" s="782"/>
      <c r="N106" s="782"/>
      <c r="O106" s="782"/>
      <c r="P106" s="782"/>
    </row>
    <row r="107" spans="1:16" ht="19.5" hidden="1" x14ac:dyDescent="0.3">
      <c r="A107" s="705"/>
      <c r="B107" s="432"/>
      <c r="C107" s="432"/>
      <c r="D107" s="792" t="s">
        <v>45</v>
      </c>
      <c r="E107" s="695"/>
      <c r="F107" s="422"/>
      <c r="G107" s="702"/>
      <c r="H107" s="424"/>
      <c r="I107" s="429"/>
      <c r="J107" s="429"/>
      <c r="K107" s="430"/>
      <c r="L107" s="430"/>
      <c r="M107" s="430"/>
      <c r="N107" s="430"/>
      <c r="O107" s="700"/>
      <c r="P107" s="700"/>
    </row>
    <row r="108" spans="1:16" ht="18.75" hidden="1" x14ac:dyDescent="0.25">
      <c r="A108" s="705"/>
      <c r="B108" s="432"/>
      <c r="C108" s="432"/>
      <c r="D108" s="423" t="s">
        <v>46</v>
      </c>
      <c r="E108" s="422"/>
      <c r="F108" s="422"/>
      <c r="G108" s="702"/>
      <c r="H108" s="847" t="s">
        <v>44</v>
      </c>
      <c r="I108" s="426">
        <f ca="1">IFERROR(__xludf.DUMMYFUNCTION("IMPORTRANGE(""https://docs.google.com/spreadsheets/d/1eHaY18a8A9IcSdp1K8H6x8fbOy06t2VsZHhMHf-1x7Y/edit?usp=sharing"",""แผน!N73"")"),0)</f>
        <v>0</v>
      </c>
      <c r="J108" s="758">
        <v>0</v>
      </c>
      <c r="K108" s="427">
        <f ca="1">IF(I108&gt;0,J108*100/I108,0)</f>
        <v>0</v>
      </c>
      <c r="L108" s="430"/>
      <c r="M108" s="430"/>
      <c r="N108" s="430"/>
      <c r="O108" s="700"/>
      <c r="P108" s="700"/>
    </row>
    <row r="109" spans="1:16" ht="18.75" hidden="1" x14ac:dyDescent="0.25">
      <c r="A109" s="705"/>
      <c r="B109" s="432"/>
      <c r="C109" s="432"/>
      <c r="D109" s="423" t="s">
        <v>47</v>
      </c>
      <c r="E109" s="422"/>
      <c r="F109" s="422"/>
      <c r="G109" s="702"/>
      <c r="H109" s="847" t="s">
        <v>33</v>
      </c>
      <c r="I109" s="426">
        <f ca="1">IFERROR(__xludf.DUMMYFUNCTION("IMPORTRANGE(""https://docs.google.com/spreadsheets/d/1eHaY18a8A9IcSdp1K8H6x8fbOy06t2VsZHhMHf-1x7Y/edit?usp=sharing"",""แผน!O73"")"),0)</f>
        <v>0</v>
      </c>
      <c r="J109" s="758">
        <v>0</v>
      </c>
      <c r="K109" s="427">
        <f ca="1">IF(I109&gt;0,J109*100/I109,0)</f>
        <v>0</v>
      </c>
      <c r="L109" s="430"/>
      <c r="M109" s="430"/>
      <c r="N109" s="430"/>
      <c r="O109" s="700"/>
      <c r="P109" s="700"/>
    </row>
    <row r="110" spans="1:16" ht="12.75" hidden="1" x14ac:dyDescent="0.2">
      <c r="A110" s="788"/>
      <c r="B110" s="787"/>
      <c r="C110" s="787"/>
      <c r="D110" s="786"/>
      <c r="E110" s="786"/>
      <c r="F110" s="786"/>
      <c r="G110" s="785"/>
      <c r="H110" s="785"/>
      <c r="I110" s="783"/>
      <c r="J110" s="783"/>
      <c r="K110" s="782"/>
      <c r="L110" s="782"/>
      <c r="M110" s="782"/>
      <c r="N110" s="782"/>
      <c r="O110" s="782"/>
      <c r="P110" s="782"/>
    </row>
    <row r="111" spans="1:16" ht="12.75" hidden="1" x14ac:dyDescent="0.2">
      <c r="A111" s="788"/>
      <c r="B111" s="787"/>
      <c r="C111" s="787"/>
      <c r="D111" s="786"/>
      <c r="E111" s="786"/>
      <c r="F111" s="786"/>
      <c r="G111" s="785"/>
      <c r="H111" s="785"/>
      <c r="I111" s="783"/>
      <c r="J111" s="783"/>
      <c r="K111" s="782"/>
      <c r="L111" s="782"/>
      <c r="M111" s="782"/>
      <c r="N111" s="782"/>
      <c r="O111" s="782"/>
      <c r="P111" s="782"/>
    </row>
    <row r="112" spans="1:16" ht="12.75" hidden="1" x14ac:dyDescent="0.2">
      <c r="A112" s="788"/>
      <c r="B112" s="787"/>
      <c r="C112" s="787"/>
      <c r="D112" s="786"/>
      <c r="E112" s="786"/>
      <c r="F112" s="786"/>
      <c r="G112" s="785"/>
      <c r="H112" s="785"/>
      <c r="I112" s="783"/>
      <c r="J112" s="783"/>
      <c r="K112" s="782"/>
      <c r="L112" s="782"/>
      <c r="M112" s="782"/>
      <c r="N112" s="782"/>
      <c r="O112" s="782"/>
      <c r="P112" s="782"/>
    </row>
    <row r="113" spans="1:16" ht="12.75" hidden="1" x14ac:dyDescent="0.2">
      <c r="A113" s="788"/>
      <c r="B113" s="787"/>
      <c r="C113" s="787"/>
      <c r="D113" s="786"/>
      <c r="E113" s="786"/>
      <c r="F113" s="786"/>
      <c r="G113" s="785"/>
      <c r="H113" s="785"/>
      <c r="I113" s="783"/>
      <c r="J113" s="783"/>
      <c r="K113" s="782"/>
      <c r="L113" s="782"/>
      <c r="M113" s="782"/>
      <c r="N113" s="782"/>
      <c r="O113" s="782"/>
      <c r="P113" s="782"/>
    </row>
    <row r="114" spans="1:16" ht="12.75" hidden="1" x14ac:dyDescent="0.2">
      <c r="A114" s="788"/>
      <c r="B114" s="787"/>
      <c r="C114" s="787"/>
      <c r="D114" s="786"/>
      <c r="E114" s="786"/>
      <c r="F114" s="786"/>
      <c r="G114" s="785"/>
      <c r="H114" s="785"/>
      <c r="I114" s="783"/>
      <c r="J114" s="783"/>
      <c r="K114" s="782"/>
      <c r="L114" s="782"/>
      <c r="M114" s="782"/>
      <c r="N114" s="782"/>
      <c r="O114" s="782"/>
      <c r="P114" s="782"/>
    </row>
    <row r="115" spans="1:16" ht="12.75" hidden="1" x14ac:dyDescent="0.2">
      <c r="A115" s="788"/>
      <c r="B115" s="787"/>
      <c r="C115" s="787"/>
      <c r="D115" s="786"/>
      <c r="E115" s="786"/>
      <c r="F115" s="786"/>
      <c r="G115" s="785"/>
      <c r="H115" s="785"/>
      <c r="I115" s="783"/>
      <c r="J115" s="783"/>
      <c r="K115" s="782"/>
      <c r="L115" s="782"/>
      <c r="M115" s="782"/>
      <c r="N115" s="782"/>
      <c r="O115" s="782"/>
      <c r="P115" s="782"/>
    </row>
    <row r="116" spans="1:16" ht="12.75" hidden="1" x14ac:dyDescent="0.2">
      <c r="A116" s="788"/>
      <c r="B116" s="787"/>
      <c r="C116" s="787"/>
      <c r="D116" s="786"/>
      <c r="E116" s="786"/>
      <c r="F116" s="786"/>
      <c r="G116" s="785"/>
      <c r="H116" s="785"/>
      <c r="I116" s="783"/>
      <c r="J116" s="783"/>
      <c r="K116" s="782"/>
      <c r="L116" s="782"/>
      <c r="M116" s="782"/>
      <c r="N116" s="782"/>
      <c r="O116" s="782"/>
      <c r="P116" s="782"/>
    </row>
    <row r="117" spans="1:16" ht="18.75" hidden="1" x14ac:dyDescent="0.25">
      <c r="A117" s="705"/>
      <c r="B117" s="432"/>
      <c r="C117" s="432"/>
      <c r="D117" s="423" t="s">
        <v>48</v>
      </c>
      <c r="E117" s="422"/>
      <c r="F117" s="422"/>
      <c r="G117" s="702"/>
      <c r="H117" s="791" t="s">
        <v>33</v>
      </c>
      <c r="I117" s="790">
        <f ca="1">IFERROR(__xludf.DUMMYFUNCTION("IMPORTRANGE(""https://docs.google.com/spreadsheets/d/1eHaY18a8A9IcSdp1K8H6x8fbOy06t2VsZHhMHf-1x7Y/edit?usp=sharing"",""แผน!R73"")"),0)</f>
        <v>0</v>
      </c>
      <c r="J117" s="758">
        <v>0</v>
      </c>
      <c r="K117" s="427">
        <f ca="1">IF(I117&gt;0,J117*100/I117,0)</f>
        <v>0</v>
      </c>
      <c r="L117" s="430"/>
      <c r="M117" s="430"/>
      <c r="N117" s="430"/>
      <c r="O117" s="700"/>
      <c r="P117" s="700"/>
    </row>
    <row r="118" spans="1:16" ht="12.75" hidden="1" x14ac:dyDescent="0.2">
      <c r="A118" s="788"/>
      <c r="B118" s="787"/>
      <c r="C118" s="787"/>
      <c r="D118" s="787"/>
      <c r="E118" s="786"/>
      <c r="F118" s="786"/>
      <c r="G118" s="785"/>
      <c r="H118" s="785"/>
      <c r="I118" s="783"/>
      <c r="J118" s="783"/>
      <c r="K118" s="782"/>
      <c r="L118" s="782"/>
      <c r="M118" s="782"/>
      <c r="N118" s="782"/>
      <c r="O118" s="782"/>
      <c r="P118" s="782"/>
    </row>
    <row r="119" spans="1:16" ht="12.75" hidden="1" x14ac:dyDescent="0.2">
      <c r="A119" s="788"/>
      <c r="B119" s="787"/>
      <c r="C119" s="787"/>
      <c r="D119" s="787"/>
      <c r="E119" s="786"/>
      <c r="F119" s="786"/>
      <c r="G119" s="785"/>
      <c r="H119" s="785"/>
      <c r="I119" s="783"/>
      <c r="J119" s="783"/>
      <c r="K119" s="782"/>
      <c r="L119" s="782"/>
      <c r="M119" s="782"/>
      <c r="N119" s="782"/>
      <c r="O119" s="782"/>
      <c r="P119" s="782"/>
    </row>
    <row r="120" spans="1:16" ht="12.75" hidden="1" x14ac:dyDescent="0.2">
      <c r="A120" s="788"/>
      <c r="B120" s="787"/>
      <c r="C120" s="787"/>
      <c r="D120" s="787"/>
      <c r="E120" s="786"/>
      <c r="F120" s="786"/>
      <c r="G120" s="785"/>
      <c r="H120" s="785"/>
      <c r="I120" s="783"/>
      <c r="J120" s="783"/>
      <c r="K120" s="782"/>
      <c r="L120" s="782"/>
      <c r="M120" s="782"/>
      <c r="N120" s="782"/>
      <c r="O120" s="782"/>
      <c r="P120" s="782"/>
    </row>
    <row r="121" spans="1:16" ht="12.75" hidden="1" x14ac:dyDescent="0.2">
      <c r="A121" s="788"/>
      <c r="B121" s="787"/>
      <c r="C121" s="787"/>
      <c r="D121" s="787"/>
      <c r="E121" s="786"/>
      <c r="F121" s="786"/>
      <c r="G121" s="785"/>
      <c r="H121" s="785"/>
      <c r="I121" s="783"/>
      <c r="J121" s="783"/>
      <c r="K121" s="782"/>
      <c r="L121" s="782"/>
      <c r="M121" s="782"/>
      <c r="N121" s="782"/>
      <c r="O121" s="782"/>
      <c r="P121" s="782"/>
    </row>
    <row r="122" spans="1:16" ht="12.75" hidden="1" x14ac:dyDescent="0.2">
      <c r="A122" s="788"/>
      <c r="B122" s="787"/>
      <c r="C122" s="787"/>
      <c r="D122" s="787"/>
      <c r="E122" s="786"/>
      <c r="F122" s="786"/>
      <c r="G122" s="785"/>
      <c r="H122" s="785"/>
      <c r="I122" s="783"/>
      <c r="J122" s="783"/>
      <c r="K122" s="782"/>
      <c r="L122" s="782"/>
      <c r="M122" s="782"/>
      <c r="N122" s="782"/>
      <c r="O122" s="782"/>
      <c r="P122" s="782"/>
    </row>
    <row r="123" spans="1:16" ht="19.5" hidden="1" x14ac:dyDescent="0.3">
      <c r="A123" s="901" t="s">
        <v>49</v>
      </c>
      <c r="B123" s="786"/>
      <c r="C123" s="890"/>
      <c r="D123" s="786"/>
      <c r="E123" s="786"/>
      <c r="F123" s="786"/>
      <c r="G123" s="786"/>
      <c r="H123" s="786"/>
      <c r="I123" s="900"/>
      <c r="J123" s="900"/>
      <c r="K123" s="899"/>
      <c r="L123" s="782"/>
      <c r="M123" s="782"/>
      <c r="N123" s="782"/>
      <c r="O123" s="782"/>
      <c r="P123" s="782"/>
    </row>
    <row r="124" spans="1:16" ht="19.5" hidden="1" x14ac:dyDescent="0.3">
      <c r="A124" s="889"/>
      <c r="B124" s="897" t="s">
        <v>50</v>
      </c>
      <c r="C124" s="890"/>
      <c r="D124" s="787"/>
      <c r="E124" s="786"/>
      <c r="F124" s="786"/>
      <c r="G124" s="785"/>
      <c r="H124" s="785"/>
      <c r="I124" s="898">
        <v>0</v>
      </c>
      <c r="J124" s="898">
        <v>0</v>
      </c>
      <c r="K124" s="886">
        <v>0</v>
      </c>
      <c r="L124" s="782"/>
      <c r="M124" s="782"/>
      <c r="N124" s="782"/>
      <c r="O124" s="782"/>
      <c r="P124" s="782"/>
    </row>
    <row r="125" spans="1:16" ht="19.5" hidden="1" x14ac:dyDescent="0.3">
      <c r="A125" s="889"/>
      <c r="B125" s="786"/>
      <c r="C125" s="897" t="s">
        <v>16</v>
      </c>
      <c r="D125" s="896" t="s">
        <v>17</v>
      </c>
      <c r="E125" s="786"/>
      <c r="F125" s="786"/>
      <c r="G125" s="785"/>
      <c r="H125" s="895" t="s">
        <v>12</v>
      </c>
      <c r="I125" s="783"/>
      <c r="J125" s="783"/>
      <c r="K125" s="782"/>
      <c r="L125" s="894">
        <f ca="1">L126+L127</f>
        <v>0</v>
      </c>
      <c r="M125" s="894">
        <f ca="1">M126+M127</f>
        <v>0</v>
      </c>
      <c r="N125" s="894">
        <f ca="1">N126+N127</f>
        <v>0</v>
      </c>
      <c r="O125" s="894">
        <f ca="1">IF(L125&gt;0,N125*100/L125,0)</f>
        <v>0</v>
      </c>
      <c r="P125" s="894">
        <f ca="1">IF(M125&gt;0,N125*100/M125,0)</f>
        <v>0</v>
      </c>
    </row>
    <row r="126" spans="1:16" ht="18.75" hidden="1" x14ac:dyDescent="0.25">
      <c r="A126" s="889"/>
      <c r="B126" s="786"/>
      <c r="C126" s="786"/>
      <c r="D126" s="786"/>
      <c r="E126" s="188" t="s">
        <v>18</v>
      </c>
      <c r="F126" s="786"/>
      <c r="G126" s="785"/>
      <c r="H126" s="217" t="s">
        <v>12</v>
      </c>
      <c r="I126" s="783"/>
      <c r="J126" s="783"/>
      <c r="K126" s="782"/>
      <c r="L126" s="193">
        <f>L129+L132</f>
        <v>0</v>
      </c>
      <c r="M126" s="193">
        <f>M129+M132</f>
        <v>0</v>
      </c>
      <c r="N126" s="193">
        <f>N129+N132</f>
        <v>0</v>
      </c>
      <c r="O126" s="193">
        <f>IF(L126&gt;0,N126*100/L126,0)</f>
        <v>0</v>
      </c>
      <c r="P126" s="193">
        <f>IF(M126&gt;0,N126*100/M126,0)</f>
        <v>0</v>
      </c>
    </row>
    <row r="127" spans="1:16" ht="18.75" hidden="1" x14ac:dyDescent="0.25">
      <c r="A127" s="889"/>
      <c r="B127" s="786"/>
      <c r="C127" s="786"/>
      <c r="D127" s="786"/>
      <c r="E127" s="888" t="s">
        <v>19</v>
      </c>
      <c r="F127" s="786"/>
      <c r="G127" s="785"/>
      <c r="H127" s="887" t="s">
        <v>12</v>
      </c>
      <c r="I127" s="783"/>
      <c r="J127" s="783"/>
      <c r="K127" s="782"/>
      <c r="L127" s="886">
        <f ca="1">L130+L133</f>
        <v>0</v>
      </c>
      <c r="M127" s="886">
        <f ca="1">M130+M133</f>
        <v>0</v>
      </c>
      <c r="N127" s="886">
        <f ca="1">N130+N133</f>
        <v>0</v>
      </c>
      <c r="O127" s="886">
        <f ca="1">IF(L127&gt;0,N127*100/L127,0)</f>
        <v>0</v>
      </c>
      <c r="P127" s="886">
        <f ca="1">IF(M127&gt;0,N127*100/M127,0)</f>
        <v>0</v>
      </c>
    </row>
    <row r="128" spans="1:16" ht="18.75" hidden="1" x14ac:dyDescent="0.25">
      <c r="A128" s="889"/>
      <c r="B128" s="786"/>
      <c r="C128" s="786"/>
      <c r="D128" s="893" t="s">
        <v>20</v>
      </c>
      <c r="E128" s="786"/>
      <c r="F128" s="786"/>
      <c r="G128" s="785"/>
      <c r="H128" s="892" t="s">
        <v>12</v>
      </c>
      <c r="I128" s="783"/>
      <c r="J128" s="783"/>
      <c r="K128" s="782"/>
      <c r="L128" s="886">
        <f ca="1">L129+L130</f>
        <v>0</v>
      </c>
      <c r="M128" s="886">
        <f ca="1">M129+M130</f>
        <v>0</v>
      </c>
      <c r="N128" s="886">
        <f ca="1">N129+N130</f>
        <v>0</v>
      </c>
      <c r="O128" s="886">
        <f ca="1">IF(L128&gt;0,N128*100/L128,0)</f>
        <v>0</v>
      </c>
      <c r="P128" s="886">
        <f ca="1">IF(M128&gt;0,N128*100/M128,0)</f>
        <v>0</v>
      </c>
    </row>
    <row r="129" spans="1:16" ht="18.75" hidden="1" x14ac:dyDescent="0.25">
      <c r="A129" s="889"/>
      <c r="B129" s="786"/>
      <c r="C129" s="786"/>
      <c r="D129" s="786"/>
      <c r="E129" s="188" t="s">
        <v>34</v>
      </c>
      <c r="F129" s="786"/>
      <c r="G129" s="785"/>
      <c r="H129" s="220" t="s">
        <v>12</v>
      </c>
      <c r="I129" s="783"/>
      <c r="J129" s="783"/>
      <c r="K129" s="782"/>
      <c r="L129" s="193">
        <v>0</v>
      </c>
      <c r="M129" s="193">
        <v>0</v>
      </c>
      <c r="N129" s="193">
        <v>0</v>
      </c>
      <c r="O129" s="193">
        <f>IF(L129&gt;0,N129*100/L129,0)</f>
        <v>0</v>
      </c>
      <c r="P129" s="193">
        <f>IF(M129&gt;0,N129*100/M129,0)</f>
        <v>0</v>
      </c>
    </row>
    <row r="130" spans="1:16" ht="18.75" hidden="1" x14ac:dyDescent="0.25">
      <c r="A130" s="889"/>
      <c r="B130" s="786"/>
      <c r="C130" s="786"/>
      <c r="D130" s="786"/>
      <c r="E130" s="888" t="s">
        <v>35</v>
      </c>
      <c r="F130" s="786"/>
      <c r="G130" s="785"/>
      <c r="H130" s="892" t="s">
        <v>12</v>
      </c>
      <c r="I130" s="783"/>
      <c r="J130" s="783"/>
      <c r="K130" s="782"/>
      <c r="L130" s="886">
        <f ca="1">IFERROR(__xludf.DUMMYFUNCTION("IMPORTRANGE(""https://docs.google.com/spreadsheets/d/1-uDff_7J0KD5mKrp0Vvzr7lt3OU09vwQwhkpOPPYv2Y/edit?usp=sharing"",""งบพรบ!BG73"")"),0)</f>
        <v>0</v>
      </c>
      <c r="M130" s="886">
        <f ca="1">IFERROR(__xludf.DUMMYFUNCTION("IMPORTRANGE(""https://docs.google.com/spreadsheets/d/1-uDff_7J0KD5mKrp0Vvzr7lt3OU09vwQwhkpOPPYv2Y/edit?usp=sharing"",""งบพรบ!BL73"")"),0)</f>
        <v>0</v>
      </c>
      <c r="N130" s="886">
        <f ca="1">IFERROR(__xludf.DUMMYFUNCTION("IMPORTRANGE(""https://docs.google.com/spreadsheets/d/1-uDff_7J0KD5mKrp0Vvzr7lt3OU09vwQwhkpOPPYv2Y/edit?usp=sharing"",""งบพรบ!BN73"")"),0)</f>
        <v>0</v>
      </c>
      <c r="O130" s="886">
        <f ca="1">IF(L130&gt;0,N130*100/L130,0)</f>
        <v>0</v>
      </c>
      <c r="P130" s="886">
        <f ca="1">IF(M130&gt;0,N130*100/M130,0)</f>
        <v>0</v>
      </c>
    </row>
    <row r="131" spans="1:16" ht="18.75" hidden="1" x14ac:dyDescent="0.25">
      <c r="A131" s="889"/>
      <c r="B131" s="786"/>
      <c r="C131" s="786"/>
      <c r="D131" s="893" t="s">
        <v>21</v>
      </c>
      <c r="E131" s="786"/>
      <c r="F131" s="786"/>
      <c r="G131" s="785"/>
      <c r="H131" s="887" t="s">
        <v>12</v>
      </c>
      <c r="I131" s="783"/>
      <c r="J131" s="783"/>
      <c r="K131" s="782"/>
      <c r="L131" s="886">
        <f ca="1">L132+L133</f>
        <v>0</v>
      </c>
      <c r="M131" s="886">
        <f ca="1">M132+M133</f>
        <v>0</v>
      </c>
      <c r="N131" s="886">
        <f ca="1">N132+N133</f>
        <v>0</v>
      </c>
      <c r="O131" s="886">
        <f ca="1">IF(L131&gt;0,N131*100/L131,0)</f>
        <v>0</v>
      </c>
      <c r="P131" s="886">
        <f ca="1">IF(M131&gt;0,N131*100/M131,0)</f>
        <v>0</v>
      </c>
    </row>
    <row r="132" spans="1:16" ht="18.75" hidden="1" x14ac:dyDescent="0.25">
      <c r="A132" s="889"/>
      <c r="B132" s="786"/>
      <c r="C132" s="786"/>
      <c r="D132" s="786"/>
      <c r="E132" s="188" t="s">
        <v>18</v>
      </c>
      <c r="F132" s="786"/>
      <c r="G132" s="785"/>
      <c r="H132" s="220" t="s">
        <v>12</v>
      </c>
      <c r="I132" s="783"/>
      <c r="J132" s="783"/>
      <c r="K132" s="782"/>
      <c r="L132" s="193">
        <v>0</v>
      </c>
      <c r="M132" s="193">
        <v>0</v>
      </c>
      <c r="N132" s="193">
        <v>0</v>
      </c>
      <c r="O132" s="193">
        <f>IF(L132&gt;0,N132*100/L132,0)</f>
        <v>0</v>
      </c>
      <c r="P132" s="193">
        <f>IF(M132&gt;0,N132*100/M132,0)</f>
        <v>0</v>
      </c>
    </row>
    <row r="133" spans="1:16" ht="18.75" hidden="1" x14ac:dyDescent="0.25">
      <c r="A133" s="889"/>
      <c r="B133" s="786"/>
      <c r="C133" s="786"/>
      <c r="D133" s="786"/>
      <c r="E133" s="888" t="s">
        <v>19</v>
      </c>
      <c r="F133" s="786"/>
      <c r="G133" s="785"/>
      <c r="H133" s="887" t="s">
        <v>12</v>
      </c>
      <c r="I133" s="783"/>
      <c r="J133" s="783"/>
      <c r="K133" s="782"/>
      <c r="L133" s="886">
        <f ca="1">IFERROR(__xludf.DUMMYFUNCTION("IMPORTRANGE(""https://docs.google.com/spreadsheets/d/1-uDff_7J0KD5mKrp0Vvzr7lt3OU09vwQwhkpOPPYv2Y/edit?usp=sharing"",""งบพรบ!BJ73"")"),0)</f>
        <v>0</v>
      </c>
      <c r="M133" s="886">
        <f ca="1">IFERROR(__xludf.DUMMYFUNCTION("IMPORTRANGE(""https://docs.google.com/spreadsheets/d/1-uDff_7J0KD5mKrp0Vvzr7lt3OU09vwQwhkpOPPYv2Y/edit?usp=sharing"",""งบพรบ!BM73"")"),0)</f>
        <v>0</v>
      </c>
      <c r="N133" s="886">
        <f ca="1">IFERROR(__xludf.DUMMYFUNCTION("IMPORTRANGE(""https://docs.google.com/spreadsheets/d/1-uDff_7J0KD5mKrp0Vvzr7lt3OU09vwQwhkpOPPYv2Y/edit?usp=sharing"",""งบพรบ!BO73"")"),0)</f>
        <v>0</v>
      </c>
      <c r="O133" s="886">
        <f ca="1">IF(L133&gt;0,N133*100/L133,0)</f>
        <v>0</v>
      </c>
      <c r="P133" s="886">
        <f ca="1">IF(M133&gt;0,N133*100/M133,0)</f>
        <v>0</v>
      </c>
    </row>
    <row r="134" spans="1:16" ht="19.5" hidden="1" x14ac:dyDescent="0.3">
      <c r="A134" s="878" t="s">
        <v>51</v>
      </c>
      <c r="B134" s="876"/>
      <c r="C134" s="877"/>
      <c r="D134" s="876"/>
      <c r="E134" s="876"/>
      <c r="F134" s="876"/>
      <c r="G134" s="876"/>
      <c r="H134" s="876"/>
      <c r="I134" s="874"/>
      <c r="J134" s="874"/>
      <c r="K134" s="873"/>
      <c r="L134" s="872"/>
      <c r="M134" s="872"/>
      <c r="N134" s="872"/>
      <c r="O134" s="872"/>
      <c r="P134" s="872"/>
    </row>
    <row r="135" spans="1:16" ht="19.5" hidden="1" x14ac:dyDescent="0.3">
      <c r="A135" s="871"/>
      <c r="B135" s="870" t="s">
        <v>52</v>
      </c>
      <c r="C135" s="882"/>
      <c r="D135" s="881"/>
      <c r="E135" s="869"/>
      <c r="F135" s="869"/>
      <c r="G135" s="869"/>
      <c r="H135" s="869"/>
      <c r="I135" s="885"/>
      <c r="J135" s="884"/>
      <c r="K135" s="864"/>
      <c r="L135" s="864"/>
      <c r="M135" s="864"/>
      <c r="N135" s="864"/>
      <c r="O135" s="864"/>
      <c r="P135" s="864"/>
    </row>
    <row r="136" spans="1:16" ht="19.5" hidden="1" x14ac:dyDescent="0.3">
      <c r="A136" s="871"/>
      <c r="B136" s="869"/>
      <c r="C136" s="883" t="s">
        <v>53</v>
      </c>
      <c r="D136" s="881"/>
      <c r="E136" s="869"/>
      <c r="F136" s="869"/>
      <c r="G136" s="868"/>
      <c r="H136" s="1011" t="s">
        <v>54</v>
      </c>
      <c r="I136" s="866">
        <f ca="1">I154</f>
        <v>0</v>
      </c>
      <c r="J136" s="866">
        <f>J154</f>
        <v>0</v>
      </c>
      <c r="K136" s="865">
        <f ca="1">IF(I136&gt;0,J136*100/I136,0)</f>
        <v>0</v>
      </c>
      <c r="L136" s="864"/>
      <c r="M136" s="864"/>
      <c r="N136" s="864"/>
      <c r="O136" s="864"/>
      <c r="P136" s="864"/>
    </row>
    <row r="137" spans="1:16" ht="19.5" hidden="1" x14ac:dyDescent="0.3">
      <c r="A137" s="871"/>
      <c r="B137" s="869"/>
      <c r="C137" s="883" t="s">
        <v>55</v>
      </c>
      <c r="D137" s="881"/>
      <c r="E137" s="869"/>
      <c r="F137" s="869"/>
      <c r="G137" s="868"/>
      <c r="H137" s="1011" t="s">
        <v>33</v>
      </c>
      <c r="I137" s="866">
        <f ca="1">I152</f>
        <v>0</v>
      </c>
      <c r="J137" s="866">
        <f>J152</f>
        <v>0</v>
      </c>
      <c r="K137" s="865">
        <f ca="1">IF(I137&gt;0,J137*100/I137,0)</f>
        <v>0</v>
      </c>
      <c r="L137" s="864"/>
      <c r="M137" s="864"/>
      <c r="N137" s="864"/>
      <c r="O137" s="864"/>
      <c r="P137" s="864"/>
    </row>
    <row r="138" spans="1:16" ht="19.5" hidden="1" x14ac:dyDescent="0.3">
      <c r="A138" s="871"/>
      <c r="B138" s="869"/>
      <c r="C138" s="882"/>
      <c r="D138" s="881"/>
      <c r="E138" s="869"/>
      <c r="F138" s="869"/>
      <c r="G138" s="868"/>
      <c r="H138" s="1011" t="s">
        <v>56</v>
      </c>
      <c r="I138" s="866">
        <f ca="1">I153</f>
        <v>0</v>
      </c>
      <c r="J138" s="866">
        <f>J153</f>
        <v>0</v>
      </c>
      <c r="K138" s="865">
        <f ca="1">IF(I138&gt;0,J138*100/I138,0)</f>
        <v>0</v>
      </c>
      <c r="L138" s="864"/>
      <c r="M138" s="864"/>
      <c r="N138" s="864"/>
      <c r="O138" s="864"/>
      <c r="P138" s="864"/>
    </row>
    <row r="139" spans="1:16" ht="19.5" hidden="1" x14ac:dyDescent="0.3">
      <c r="A139" s="706"/>
      <c r="B139" s="420"/>
      <c r="C139" s="740" t="s">
        <v>16</v>
      </c>
      <c r="D139" s="739" t="s">
        <v>17</v>
      </c>
      <c r="E139" s="420"/>
      <c r="F139" s="420"/>
      <c r="G139" s="424"/>
      <c r="H139" s="738" t="s">
        <v>12</v>
      </c>
      <c r="I139" s="429"/>
      <c r="J139" s="429"/>
      <c r="K139" s="430"/>
      <c r="L139" s="737">
        <f ca="1">L140+L141</f>
        <v>0</v>
      </c>
      <c r="M139" s="737">
        <f ca="1">M140+M141</f>
        <v>0</v>
      </c>
      <c r="N139" s="737">
        <f ca="1">N140+N141</f>
        <v>0</v>
      </c>
      <c r="O139" s="737">
        <f ca="1">IF(L139&gt;0,N139*100/L139,0)</f>
        <v>0</v>
      </c>
      <c r="P139" s="737">
        <f ca="1">IF(M139&gt;0,N139*100/M139,0)</f>
        <v>0</v>
      </c>
    </row>
    <row r="140" spans="1:16" ht="18.75" hidden="1" x14ac:dyDescent="0.25">
      <c r="A140" s="706"/>
      <c r="B140" s="420"/>
      <c r="C140" s="420"/>
      <c r="D140" s="420"/>
      <c r="E140" s="540" t="s">
        <v>18</v>
      </c>
      <c r="F140" s="420"/>
      <c r="G140" s="424"/>
      <c r="H140" s="544" t="s">
        <v>12</v>
      </c>
      <c r="I140" s="429"/>
      <c r="J140" s="429"/>
      <c r="K140" s="430"/>
      <c r="L140" s="522">
        <f>L143+L146</f>
        <v>0</v>
      </c>
      <c r="M140" s="522">
        <f>M143+M146</f>
        <v>0</v>
      </c>
      <c r="N140" s="522">
        <f>N143+N146</f>
        <v>0</v>
      </c>
      <c r="O140" s="522">
        <f>IF(L140&gt;0,N140*100/L140,0)</f>
        <v>0</v>
      </c>
      <c r="P140" s="522">
        <f>IF(M140&gt;0,N140*100/M140,0)</f>
        <v>0</v>
      </c>
    </row>
    <row r="141" spans="1:16" ht="18.75" hidden="1" x14ac:dyDescent="0.25">
      <c r="A141" s="706"/>
      <c r="B141" s="420"/>
      <c r="C141" s="420"/>
      <c r="D141" s="420"/>
      <c r="E141" s="295" t="s">
        <v>19</v>
      </c>
      <c r="F141" s="420"/>
      <c r="G141" s="424"/>
      <c r="H141" s="442" t="s">
        <v>12</v>
      </c>
      <c r="I141" s="429"/>
      <c r="J141" s="429"/>
      <c r="K141" s="430"/>
      <c r="L141" s="427">
        <f ca="1">L144+L147</f>
        <v>0</v>
      </c>
      <c r="M141" s="427">
        <f ca="1">M144+M147</f>
        <v>0</v>
      </c>
      <c r="N141" s="427">
        <f ca="1">N144+N147</f>
        <v>0</v>
      </c>
      <c r="O141" s="427">
        <f ca="1">IF(L141&gt;0,N141*100/L141,0)</f>
        <v>0</v>
      </c>
      <c r="P141" s="427">
        <f ca="1">IF(M141&gt;0,N141*100/M141,0)</f>
        <v>0</v>
      </c>
    </row>
    <row r="142" spans="1:16" ht="18.75" hidden="1" x14ac:dyDescent="0.25">
      <c r="A142" s="706"/>
      <c r="B142" s="420"/>
      <c r="C142" s="420"/>
      <c r="D142" s="735" t="s">
        <v>20</v>
      </c>
      <c r="E142" s="420"/>
      <c r="F142" s="420"/>
      <c r="G142" s="424"/>
      <c r="H142" s="736" t="s">
        <v>12</v>
      </c>
      <c r="I142" s="701"/>
      <c r="J142" s="701"/>
      <c r="K142" s="700"/>
      <c r="L142" s="427">
        <f ca="1">L143+L144</f>
        <v>0</v>
      </c>
      <c r="M142" s="427">
        <f ca="1">M143+M144</f>
        <v>0</v>
      </c>
      <c r="N142" s="427">
        <f ca="1">N143+N144</f>
        <v>0</v>
      </c>
      <c r="O142" s="427">
        <f ca="1">IF(L142&gt;0,N142*100/L142,0)</f>
        <v>0</v>
      </c>
      <c r="P142" s="427">
        <f ca="1">IF(M142&gt;0,N142*100/M142,0)</f>
        <v>0</v>
      </c>
    </row>
    <row r="143" spans="1:16" ht="18.75" hidden="1" x14ac:dyDescent="0.25">
      <c r="A143" s="706"/>
      <c r="B143" s="420"/>
      <c r="C143" s="420"/>
      <c r="D143" s="420"/>
      <c r="E143" s="540" t="s">
        <v>34</v>
      </c>
      <c r="F143" s="420"/>
      <c r="G143" s="424"/>
      <c r="H143" s="542" t="s">
        <v>12</v>
      </c>
      <c r="I143" s="701"/>
      <c r="J143" s="701"/>
      <c r="K143" s="700"/>
      <c r="L143" s="522">
        <v>0</v>
      </c>
      <c r="M143" s="522">
        <v>0</v>
      </c>
      <c r="N143" s="522">
        <v>0</v>
      </c>
      <c r="O143" s="522">
        <f>IF(L143&gt;0,N143*100/L143,0)</f>
        <v>0</v>
      </c>
      <c r="P143" s="522">
        <f>IF(M143&gt;0,N143*100/M143,0)</f>
        <v>0</v>
      </c>
    </row>
    <row r="144" spans="1:16" ht="18.75" hidden="1" x14ac:dyDescent="0.25">
      <c r="A144" s="706"/>
      <c r="B144" s="420"/>
      <c r="C144" s="420"/>
      <c r="D144" s="420"/>
      <c r="E144" s="295" t="s">
        <v>35</v>
      </c>
      <c r="F144" s="420"/>
      <c r="G144" s="424"/>
      <c r="H144" s="736" t="s">
        <v>12</v>
      </c>
      <c r="I144" s="701"/>
      <c r="J144" s="701"/>
      <c r="K144" s="700"/>
      <c r="L144" s="427">
        <f ca="1">IFERROR(__xludf.DUMMYFUNCTION("IMPORTRANGE(""https://docs.google.com/spreadsheets/d/1-uDff_7J0KD5mKrp0Vvzr7lt3OU09vwQwhkpOPPYv2Y/edit?usp=sharing"",""งบพรบ!BQ73"")"),0)</f>
        <v>0</v>
      </c>
      <c r="M144" s="427">
        <f ca="1">IFERROR(__xludf.DUMMYFUNCTION("IMPORTRANGE(""https://docs.google.com/spreadsheets/d/1-uDff_7J0KD5mKrp0Vvzr7lt3OU09vwQwhkpOPPYv2Y/edit?usp=sharing"",""งบพรบ!BV73"")"),0)</f>
        <v>0</v>
      </c>
      <c r="N144" s="427">
        <f ca="1">IFERROR(__xludf.DUMMYFUNCTION("IMPORTRANGE(""https://docs.google.com/spreadsheets/d/1-uDff_7J0KD5mKrp0Vvzr7lt3OU09vwQwhkpOPPYv2Y/edit?usp=sharing"",""งบพรบ!BX73"")"),0)</f>
        <v>0</v>
      </c>
      <c r="O144" s="427">
        <f ca="1">IF(L144&gt;0,N144*100/L144,0)</f>
        <v>0</v>
      </c>
      <c r="P144" s="427">
        <f ca="1">IF(M144&gt;0,N144*100/M144,0)</f>
        <v>0</v>
      </c>
    </row>
    <row r="145" spans="1:16" ht="18.75" hidden="1" x14ac:dyDescent="0.25">
      <c r="A145" s="706"/>
      <c r="B145" s="420"/>
      <c r="C145" s="420"/>
      <c r="D145" s="735" t="s">
        <v>21</v>
      </c>
      <c r="E145" s="420"/>
      <c r="F145" s="420"/>
      <c r="G145" s="424"/>
      <c r="H145" s="727" t="s">
        <v>12</v>
      </c>
      <c r="I145" s="701"/>
      <c r="J145" s="701"/>
      <c r="K145" s="700"/>
      <c r="L145" s="427">
        <f ca="1">L146+L147</f>
        <v>0</v>
      </c>
      <c r="M145" s="427">
        <f ca="1">M146+M147</f>
        <v>0</v>
      </c>
      <c r="N145" s="427">
        <f ca="1">N146+N147</f>
        <v>0</v>
      </c>
      <c r="O145" s="427">
        <f ca="1">IF(L145&gt;0,N145*100/L145,0)</f>
        <v>0</v>
      </c>
      <c r="P145" s="427">
        <f ca="1">IF(M145&gt;0,N145*100/M145,0)</f>
        <v>0</v>
      </c>
    </row>
    <row r="146" spans="1:16" ht="18.75" hidden="1" x14ac:dyDescent="0.25">
      <c r="A146" s="706"/>
      <c r="B146" s="420"/>
      <c r="C146" s="420"/>
      <c r="D146" s="420"/>
      <c r="E146" s="540" t="s">
        <v>18</v>
      </c>
      <c r="F146" s="420"/>
      <c r="G146" s="424"/>
      <c r="H146" s="542" t="s">
        <v>12</v>
      </c>
      <c r="I146" s="701"/>
      <c r="J146" s="701"/>
      <c r="K146" s="700"/>
      <c r="L146" s="522">
        <v>0</v>
      </c>
      <c r="M146" s="522">
        <v>0</v>
      </c>
      <c r="N146" s="522">
        <v>0</v>
      </c>
      <c r="O146" s="522">
        <f>IF(L146&gt;0,N146*100/L146,0)</f>
        <v>0</v>
      </c>
      <c r="P146" s="522">
        <f>IF(M146&gt;0,N146*100/M146,0)</f>
        <v>0</v>
      </c>
    </row>
    <row r="147" spans="1:16" ht="18.75" hidden="1" x14ac:dyDescent="0.25">
      <c r="A147" s="706"/>
      <c r="B147" s="420"/>
      <c r="C147" s="420"/>
      <c r="D147" s="420"/>
      <c r="E147" s="295" t="s">
        <v>19</v>
      </c>
      <c r="F147" s="420"/>
      <c r="G147" s="424"/>
      <c r="H147" s="727" t="s">
        <v>12</v>
      </c>
      <c r="I147" s="701"/>
      <c r="J147" s="701"/>
      <c r="K147" s="700"/>
      <c r="L147" s="427">
        <f ca="1">IFERROR(__xludf.DUMMYFUNCTION("IMPORTRANGE(""https://docs.google.com/spreadsheets/d/1-uDff_7J0KD5mKrp0Vvzr7lt3OU09vwQwhkpOPPYv2Y/edit?usp=sharing"",""งบพรบ!BT73"")"),0)</f>
        <v>0</v>
      </c>
      <c r="M147" s="427">
        <f ca="1">IFERROR(__xludf.DUMMYFUNCTION("IMPORTRANGE(""https://docs.google.com/spreadsheets/d/1-uDff_7J0KD5mKrp0Vvzr7lt3OU09vwQwhkpOPPYv2Y/edit?usp=sharing"",""งบพรบ!BW73"")"),0)</f>
        <v>0</v>
      </c>
      <c r="N147" s="427">
        <f ca="1">IFERROR(__xludf.DUMMYFUNCTION("IMPORTRANGE(""https://docs.google.com/spreadsheets/d/1-uDff_7J0KD5mKrp0Vvzr7lt3OU09vwQwhkpOPPYv2Y/edit?usp=sharing"",""งบพรบ!BY73"")"),0)</f>
        <v>0</v>
      </c>
      <c r="O147" s="427">
        <f ca="1">IF(L147&gt;0,N147*100/L147,0)</f>
        <v>0</v>
      </c>
      <c r="P147" s="427">
        <f ca="1">IF(M147&gt;0,N147*100/M147,0)</f>
        <v>0</v>
      </c>
    </row>
    <row r="148" spans="1:16" ht="19.5" hidden="1" x14ac:dyDescent="0.3">
      <c r="A148" s="705"/>
      <c r="B148" s="432"/>
      <c r="C148" s="740" t="s">
        <v>16</v>
      </c>
      <c r="D148" s="759" t="s">
        <v>36</v>
      </c>
      <c r="E148" s="704"/>
      <c r="F148" s="704"/>
      <c r="G148" s="703"/>
      <c r="H148" s="730"/>
      <c r="I148" s="429"/>
      <c r="J148" s="429"/>
      <c r="K148" s="430"/>
      <c r="L148" s="430"/>
      <c r="M148" s="430"/>
      <c r="N148" s="430"/>
      <c r="O148" s="430"/>
      <c r="P148" s="430"/>
    </row>
    <row r="149" spans="1:16" ht="18.75" hidden="1" x14ac:dyDescent="0.25">
      <c r="A149" s="706"/>
      <c r="B149" s="420"/>
      <c r="C149" s="420"/>
      <c r="D149" s="295" t="s">
        <v>57</v>
      </c>
      <c r="E149" s="420"/>
      <c r="F149" s="420"/>
      <c r="G149" s="424"/>
      <c r="H149" s="730"/>
      <c r="I149" s="429"/>
      <c r="J149" s="758">
        <v>0</v>
      </c>
      <c r="K149" s="430"/>
      <c r="L149" s="430"/>
      <c r="M149" s="430"/>
      <c r="N149" s="430"/>
      <c r="O149" s="430"/>
      <c r="P149" s="430"/>
    </row>
    <row r="150" spans="1:16" ht="19.5" hidden="1" x14ac:dyDescent="0.3">
      <c r="A150" s="706"/>
      <c r="B150" s="420"/>
      <c r="C150" s="420"/>
      <c r="D150" s="422"/>
      <c r="E150" s="740" t="s">
        <v>162</v>
      </c>
      <c r="F150" s="420"/>
      <c r="G150" s="424"/>
      <c r="H150" s="727" t="s">
        <v>33</v>
      </c>
      <c r="I150" s="426">
        <f ca="1">IFERROR(__xludf.DUMMYFUNCTION("IMPORTRANGE(""https://docs.google.com/spreadsheets/d/1eHaY18a8A9IcSdp1K8H6x8fbOy06t2VsZHhMHf-1x7Y/edit?usp=sharing"",""แผน!U73"")"),0)</f>
        <v>0</v>
      </c>
      <c r="J150" s="758">
        <v>0</v>
      </c>
      <c r="K150" s="427">
        <f ca="1">IF(I150&gt;0,J150*100/I150,0)</f>
        <v>0</v>
      </c>
      <c r="L150" s="430"/>
      <c r="M150" s="430"/>
      <c r="N150" s="430"/>
      <c r="O150" s="430"/>
      <c r="P150" s="430"/>
    </row>
    <row r="151" spans="1:16" ht="18.75" hidden="1" x14ac:dyDescent="0.25">
      <c r="A151" s="706"/>
      <c r="B151" s="420"/>
      <c r="C151" s="420"/>
      <c r="D151" s="422"/>
      <c r="E151" s="420"/>
      <c r="F151" s="420"/>
      <c r="G151" s="424"/>
      <c r="H151" s="727" t="s">
        <v>56</v>
      </c>
      <c r="I151" s="426">
        <f ca="1">IFERROR(__xludf.DUMMYFUNCTION("IMPORTRANGE(""https://docs.google.com/spreadsheets/d/1eHaY18a8A9IcSdp1K8H6x8fbOy06t2VsZHhMHf-1x7Y/edit?usp=sharing"",""แผน!V73"")"),0)</f>
        <v>0</v>
      </c>
      <c r="J151" s="758">
        <v>0</v>
      </c>
      <c r="K151" s="427">
        <f ca="1">IF(I151&gt;0,J151*100/I151,0)</f>
        <v>0</v>
      </c>
      <c r="L151" s="430"/>
      <c r="M151" s="430"/>
      <c r="N151" s="430"/>
      <c r="O151" s="430"/>
      <c r="P151" s="430"/>
    </row>
    <row r="152" spans="1:16" ht="19.5" hidden="1" x14ac:dyDescent="0.3">
      <c r="A152" s="706"/>
      <c r="B152" s="420"/>
      <c r="C152" s="420"/>
      <c r="D152" s="422"/>
      <c r="E152" s="740" t="s">
        <v>161</v>
      </c>
      <c r="F152" s="420"/>
      <c r="G152" s="424"/>
      <c r="H152" s="727" t="s">
        <v>33</v>
      </c>
      <c r="I152" s="426">
        <f ca="1">IFERROR(__xludf.DUMMYFUNCTION("IMPORTRANGE(""https://docs.google.com/spreadsheets/d/1eHaY18a8A9IcSdp1K8H6x8fbOy06t2VsZHhMHf-1x7Y/edit?usp=sharing"",""แผน!W73"")"),0)</f>
        <v>0</v>
      </c>
      <c r="J152" s="758">
        <v>0</v>
      </c>
      <c r="K152" s="427">
        <f ca="1">IF(I152&gt;0,J152*100/I152,0)</f>
        <v>0</v>
      </c>
      <c r="L152" s="430"/>
      <c r="M152" s="430"/>
      <c r="N152" s="430"/>
      <c r="O152" s="430"/>
      <c r="P152" s="430"/>
    </row>
    <row r="153" spans="1:16" ht="18.75" hidden="1" x14ac:dyDescent="0.25">
      <c r="A153" s="706"/>
      <c r="B153" s="420"/>
      <c r="C153" s="420"/>
      <c r="D153" s="420"/>
      <c r="E153" s="420"/>
      <c r="F153" s="420"/>
      <c r="G153" s="424"/>
      <c r="H153" s="727" t="s">
        <v>56</v>
      </c>
      <c r="I153" s="426">
        <f ca="1">IFERROR(__xludf.DUMMYFUNCTION("IMPORTRANGE(""https://docs.google.com/spreadsheets/d/1eHaY18a8A9IcSdp1K8H6x8fbOy06t2VsZHhMHf-1x7Y/edit?usp=sharing"",""แผน!X73"")"),0)</f>
        <v>0</v>
      </c>
      <c r="J153" s="758">
        <v>0</v>
      </c>
      <c r="K153" s="427">
        <f ca="1">IF(I153&gt;0,J153*100/I153,0)</f>
        <v>0</v>
      </c>
      <c r="L153" s="430"/>
      <c r="M153" s="430"/>
      <c r="N153" s="430"/>
      <c r="O153" s="430"/>
      <c r="P153" s="430"/>
    </row>
    <row r="154" spans="1:16" ht="18.75" hidden="1" x14ac:dyDescent="0.25">
      <c r="A154" s="706"/>
      <c r="B154" s="420"/>
      <c r="C154" s="420"/>
      <c r="D154" s="295" t="s">
        <v>60</v>
      </c>
      <c r="E154" s="420"/>
      <c r="F154" s="420"/>
      <c r="G154" s="424"/>
      <c r="H154" s="727" t="s">
        <v>54</v>
      </c>
      <c r="I154" s="426">
        <f ca="1">IFERROR(__xludf.DUMMYFUNCTION("IMPORTRANGE(""https://docs.google.com/spreadsheets/d/1eHaY18a8A9IcSdp1K8H6x8fbOy06t2VsZHhMHf-1x7Y/edit?usp=sharing"",""แผน!Y73"")"),0)</f>
        <v>0</v>
      </c>
      <c r="J154" s="758">
        <v>0</v>
      </c>
      <c r="K154" s="427">
        <f ca="1">IF(I154&gt;0,J154*100/I154,0)</f>
        <v>0</v>
      </c>
      <c r="L154" s="430"/>
      <c r="M154" s="430"/>
      <c r="N154" s="430"/>
      <c r="O154" s="430"/>
      <c r="P154" s="430"/>
    </row>
    <row r="155" spans="1:16" ht="19.5" hidden="1" x14ac:dyDescent="0.3">
      <c r="A155" s="878" t="s">
        <v>61</v>
      </c>
      <c r="B155" s="876"/>
      <c r="C155" s="877"/>
      <c r="D155" s="876"/>
      <c r="E155" s="876"/>
      <c r="F155" s="876"/>
      <c r="G155" s="876"/>
      <c r="H155" s="876"/>
      <c r="I155" s="874"/>
      <c r="J155" s="874"/>
      <c r="K155" s="873"/>
      <c r="L155" s="872"/>
      <c r="M155" s="872"/>
      <c r="N155" s="872"/>
      <c r="O155" s="872"/>
      <c r="P155" s="872"/>
    </row>
    <row r="156" spans="1:16" ht="19.5" hidden="1" x14ac:dyDescent="0.3">
      <c r="A156" s="871"/>
      <c r="B156" s="870" t="s">
        <v>62</v>
      </c>
      <c r="C156" s="869"/>
      <c r="D156" s="869"/>
      <c r="E156" s="869"/>
      <c r="F156" s="869"/>
      <c r="G156" s="868"/>
      <c r="H156" s="867" t="s">
        <v>33</v>
      </c>
      <c r="I156" s="866">
        <f ca="1">I169</f>
        <v>0</v>
      </c>
      <c r="J156" s="866">
        <f>J169</f>
        <v>0</v>
      </c>
      <c r="K156" s="865">
        <f ca="1">IF(I156&gt;0,J156*100/I156,0)</f>
        <v>0</v>
      </c>
      <c r="L156" s="864"/>
      <c r="M156" s="864"/>
      <c r="N156" s="864"/>
      <c r="O156" s="864"/>
      <c r="P156" s="864"/>
    </row>
    <row r="157" spans="1:16" ht="19.5" hidden="1" x14ac:dyDescent="0.3">
      <c r="A157" s="706"/>
      <c r="B157" s="420"/>
      <c r="C157" s="740" t="s">
        <v>16</v>
      </c>
      <c r="D157" s="739" t="s">
        <v>17</v>
      </c>
      <c r="E157" s="420"/>
      <c r="F157" s="420"/>
      <c r="G157" s="424"/>
      <c r="H157" s="738" t="s">
        <v>12</v>
      </c>
      <c r="I157" s="429"/>
      <c r="J157" s="429"/>
      <c r="K157" s="430"/>
      <c r="L157" s="737">
        <f ca="1">L158+L159</f>
        <v>0</v>
      </c>
      <c r="M157" s="737">
        <f ca="1">M158+M159</f>
        <v>0</v>
      </c>
      <c r="N157" s="737">
        <f ca="1">N158+N159</f>
        <v>0</v>
      </c>
      <c r="O157" s="737">
        <f ca="1">IF(L157&gt;0,N157*100/L157,0)</f>
        <v>0</v>
      </c>
      <c r="P157" s="737">
        <f ca="1">IF(M157&gt;0,N157*100/M157,0)</f>
        <v>0</v>
      </c>
    </row>
    <row r="158" spans="1:16" ht="18.75" hidden="1" x14ac:dyDescent="0.25">
      <c r="A158" s="706"/>
      <c r="B158" s="420"/>
      <c r="C158" s="420"/>
      <c r="D158" s="420"/>
      <c r="E158" s="540" t="s">
        <v>18</v>
      </c>
      <c r="F158" s="420"/>
      <c r="G158" s="424"/>
      <c r="H158" s="544" t="s">
        <v>12</v>
      </c>
      <c r="I158" s="429"/>
      <c r="J158" s="429"/>
      <c r="K158" s="430"/>
      <c r="L158" s="522">
        <f>L161+L164</f>
        <v>0</v>
      </c>
      <c r="M158" s="522">
        <f>M161+M164</f>
        <v>0</v>
      </c>
      <c r="N158" s="522">
        <f>N161+N164</f>
        <v>0</v>
      </c>
      <c r="O158" s="522">
        <f>IF(L158&gt;0,N158*100/L158,0)</f>
        <v>0</v>
      </c>
      <c r="P158" s="522">
        <f>IF(M158&gt;0,N158*100/M158,0)</f>
        <v>0</v>
      </c>
    </row>
    <row r="159" spans="1:16" ht="18.75" hidden="1" x14ac:dyDescent="0.25">
      <c r="A159" s="706"/>
      <c r="B159" s="420"/>
      <c r="C159" s="420"/>
      <c r="D159" s="420"/>
      <c r="E159" s="295" t="s">
        <v>19</v>
      </c>
      <c r="F159" s="420"/>
      <c r="G159" s="424"/>
      <c r="H159" s="442" t="s">
        <v>12</v>
      </c>
      <c r="I159" s="429"/>
      <c r="J159" s="429"/>
      <c r="K159" s="430"/>
      <c r="L159" s="427">
        <f ca="1">L162+L165</f>
        <v>0</v>
      </c>
      <c r="M159" s="427">
        <f ca="1">M162+M165</f>
        <v>0</v>
      </c>
      <c r="N159" s="427">
        <f ca="1">N162+N165</f>
        <v>0</v>
      </c>
      <c r="O159" s="427">
        <f ca="1">IF(L159&gt;0,N159*100/L159,0)</f>
        <v>0</v>
      </c>
      <c r="P159" s="427">
        <f ca="1">IF(M159&gt;0,N159*100/M159,0)</f>
        <v>0</v>
      </c>
    </row>
    <row r="160" spans="1:16" ht="18.75" hidden="1" x14ac:dyDescent="0.25">
      <c r="A160" s="706"/>
      <c r="B160" s="420"/>
      <c r="C160" s="420"/>
      <c r="D160" s="735" t="s">
        <v>20</v>
      </c>
      <c r="E160" s="420"/>
      <c r="F160" s="420"/>
      <c r="G160" s="424"/>
      <c r="H160" s="736" t="s">
        <v>12</v>
      </c>
      <c r="I160" s="701"/>
      <c r="J160" s="701"/>
      <c r="K160" s="700"/>
      <c r="L160" s="427">
        <f ca="1">L161+L162</f>
        <v>0</v>
      </c>
      <c r="M160" s="427">
        <f ca="1">M161+M162</f>
        <v>0</v>
      </c>
      <c r="N160" s="427">
        <f ca="1">N161+N162</f>
        <v>0</v>
      </c>
      <c r="O160" s="427">
        <f ca="1">IF(L160&gt;0,N160*100/L160,0)</f>
        <v>0</v>
      </c>
      <c r="P160" s="427">
        <f ca="1">IF(M160&gt;0,N160*100/M160,0)</f>
        <v>0</v>
      </c>
    </row>
    <row r="161" spans="1:16" ht="18.75" hidden="1" x14ac:dyDescent="0.25">
      <c r="A161" s="706"/>
      <c r="B161" s="420"/>
      <c r="C161" s="420"/>
      <c r="D161" s="420"/>
      <c r="E161" s="540" t="s">
        <v>34</v>
      </c>
      <c r="F161" s="420"/>
      <c r="G161" s="424"/>
      <c r="H161" s="542" t="s">
        <v>12</v>
      </c>
      <c r="I161" s="701"/>
      <c r="J161" s="701"/>
      <c r="K161" s="700"/>
      <c r="L161" s="522">
        <v>0</v>
      </c>
      <c r="M161" s="522">
        <v>0</v>
      </c>
      <c r="N161" s="522">
        <v>0</v>
      </c>
      <c r="O161" s="522">
        <f>IF(L161&gt;0,N161*100/L161,0)</f>
        <v>0</v>
      </c>
      <c r="P161" s="522">
        <f>IF(M161&gt;0,N161*100/M161,0)</f>
        <v>0</v>
      </c>
    </row>
    <row r="162" spans="1:16" ht="18.75" hidden="1" x14ac:dyDescent="0.25">
      <c r="A162" s="706"/>
      <c r="B162" s="420"/>
      <c r="C162" s="420"/>
      <c r="D162" s="420"/>
      <c r="E162" s="295" t="s">
        <v>35</v>
      </c>
      <c r="F162" s="420"/>
      <c r="G162" s="424"/>
      <c r="H162" s="736" t="s">
        <v>12</v>
      </c>
      <c r="I162" s="701"/>
      <c r="J162" s="701"/>
      <c r="K162" s="700"/>
      <c r="L162" s="427">
        <f ca="1">IFERROR(__xludf.DUMMYFUNCTION("IMPORTRANGE(""https://docs.google.com/spreadsheets/d/1-uDff_7J0KD5mKrp0Vvzr7lt3OU09vwQwhkpOPPYv2Y/edit?usp=sharing"",""งบพรบ!CA73"")"),0)</f>
        <v>0</v>
      </c>
      <c r="M162" s="427">
        <f ca="1">IFERROR(__xludf.DUMMYFUNCTION("IMPORTRANGE(""https://docs.google.com/spreadsheets/d/1-uDff_7J0KD5mKrp0Vvzr7lt3OU09vwQwhkpOPPYv2Y/edit?usp=sharing"",""งบพรบ!CF73"")"),0)</f>
        <v>0</v>
      </c>
      <c r="N162" s="427">
        <f ca="1">IFERROR(__xludf.DUMMYFUNCTION("IMPORTRANGE(""https://docs.google.com/spreadsheets/d/1-uDff_7J0KD5mKrp0Vvzr7lt3OU09vwQwhkpOPPYv2Y/edit?usp=sharing"",""งบพรบ!CH73"")"),0)</f>
        <v>0</v>
      </c>
      <c r="O162" s="427">
        <f ca="1">IF(L162&gt;0,N162*100/L162,0)</f>
        <v>0</v>
      </c>
      <c r="P162" s="427">
        <f ca="1">IF(M162&gt;0,N162*100/M162,0)</f>
        <v>0</v>
      </c>
    </row>
    <row r="163" spans="1:16" ht="18.75" hidden="1" x14ac:dyDescent="0.25">
      <c r="A163" s="706"/>
      <c r="B163" s="420"/>
      <c r="C163" s="420"/>
      <c r="D163" s="735" t="s">
        <v>21</v>
      </c>
      <c r="E163" s="420"/>
      <c r="F163" s="420"/>
      <c r="G163" s="424"/>
      <c r="H163" s="727" t="s">
        <v>12</v>
      </c>
      <c r="I163" s="701"/>
      <c r="J163" s="701"/>
      <c r="K163" s="700"/>
      <c r="L163" s="427">
        <f ca="1">L164+L165</f>
        <v>0</v>
      </c>
      <c r="M163" s="427">
        <f ca="1">M164+M165</f>
        <v>0</v>
      </c>
      <c r="N163" s="427">
        <f ca="1">N164+N165</f>
        <v>0</v>
      </c>
      <c r="O163" s="427">
        <f ca="1">IF(L163&gt;0,N163*100/L163,0)</f>
        <v>0</v>
      </c>
      <c r="P163" s="427">
        <f ca="1">IF(M163&gt;0,N163*100/M163,0)</f>
        <v>0</v>
      </c>
    </row>
    <row r="164" spans="1:16" ht="18.75" hidden="1" x14ac:dyDescent="0.25">
      <c r="A164" s="706"/>
      <c r="B164" s="420"/>
      <c r="C164" s="420"/>
      <c r="D164" s="420"/>
      <c r="E164" s="540" t="s">
        <v>18</v>
      </c>
      <c r="F164" s="420"/>
      <c r="G164" s="424"/>
      <c r="H164" s="542" t="s">
        <v>12</v>
      </c>
      <c r="I164" s="701"/>
      <c r="J164" s="701"/>
      <c r="K164" s="700"/>
      <c r="L164" s="522">
        <v>0</v>
      </c>
      <c r="M164" s="522">
        <v>0</v>
      </c>
      <c r="N164" s="522">
        <v>0</v>
      </c>
      <c r="O164" s="522">
        <f>IF(L164&gt;0,N164*100/L164,0)</f>
        <v>0</v>
      </c>
      <c r="P164" s="522">
        <f>IF(M164&gt;0,N164*100/M164,0)</f>
        <v>0</v>
      </c>
    </row>
    <row r="165" spans="1:16" ht="18.75" hidden="1" x14ac:dyDescent="0.25">
      <c r="A165" s="706"/>
      <c r="B165" s="420"/>
      <c r="C165" s="420"/>
      <c r="D165" s="420"/>
      <c r="E165" s="295" t="s">
        <v>19</v>
      </c>
      <c r="F165" s="420"/>
      <c r="G165" s="424"/>
      <c r="H165" s="727" t="s">
        <v>12</v>
      </c>
      <c r="I165" s="701"/>
      <c r="J165" s="701"/>
      <c r="K165" s="700"/>
      <c r="L165" s="427">
        <f ca="1">IFERROR(__xludf.DUMMYFUNCTION("IMPORTRANGE(""https://docs.google.com/spreadsheets/d/1-uDff_7J0KD5mKrp0Vvzr7lt3OU09vwQwhkpOPPYv2Y/edit?usp=sharing"",""งบพรบ!CD73"")"),0)</f>
        <v>0</v>
      </c>
      <c r="M165" s="427">
        <f ca="1">IFERROR(__xludf.DUMMYFUNCTION("IMPORTRANGE(""https://docs.google.com/spreadsheets/d/1-uDff_7J0KD5mKrp0Vvzr7lt3OU09vwQwhkpOPPYv2Y/edit?usp=sharing"",""งบพรบ!CG73"")"),0)</f>
        <v>0</v>
      </c>
      <c r="N165" s="427">
        <f ca="1">IFERROR(__xludf.DUMMYFUNCTION("IMPORTRANGE(""https://docs.google.com/spreadsheets/d/1-uDff_7J0KD5mKrp0Vvzr7lt3OU09vwQwhkpOPPYv2Y/edit?usp=sharing"",""งบพรบ!CI73"")"),0)</f>
        <v>0</v>
      </c>
      <c r="O165" s="427">
        <f ca="1">IF(L165&gt;0,N165*100/L165,0)</f>
        <v>0</v>
      </c>
      <c r="P165" s="427">
        <f ca="1">IF(M165&gt;0,N165*100/M165,0)</f>
        <v>0</v>
      </c>
    </row>
    <row r="166" spans="1:16" ht="19.5" hidden="1" x14ac:dyDescent="0.3">
      <c r="A166" s="705"/>
      <c r="B166" s="432"/>
      <c r="C166" s="740" t="s">
        <v>16</v>
      </c>
      <c r="D166" s="759" t="s">
        <v>36</v>
      </c>
      <c r="E166" s="704"/>
      <c r="F166" s="704"/>
      <c r="G166" s="703"/>
      <c r="H166" s="730"/>
      <c r="I166" s="429"/>
      <c r="J166" s="429"/>
      <c r="K166" s="430"/>
      <c r="L166" s="430"/>
      <c r="M166" s="430"/>
      <c r="N166" s="430"/>
      <c r="O166" s="430"/>
      <c r="P166" s="430"/>
    </row>
    <row r="167" spans="1:16" ht="18.75" hidden="1" x14ac:dyDescent="0.25">
      <c r="A167" s="706"/>
      <c r="B167" s="420"/>
      <c r="C167" s="420"/>
      <c r="D167" s="295" t="s">
        <v>63</v>
      </c>
      <c r="E167" s="420"/>
      <c r="F167" s="420"/>
      <c r="G167" s="424"/>
      <c r="H167" s="727" t="s">
        <v>33</v>
      </c>
      <c r="I167" s="426">
        <f ca="1">IFERROR(__xludf.DUMMYFUNCTION("IMPORTRANGE(""https://docs.google.com/spreadsheets/d/1eHaY18a8A9IcSdp1K8H6x8fbOy06t2VsZHhMHf-1x7Y/edit?usp=sharing"",""แผน!Z73"")"),0)</f>
        <v>0</v>
      </c>
      <c r="J167" s="758">
        <v>0</v>
      </c>
      <c r="K167" s="427">
        <f ca="1">IF(I167&gt;0,J167*100/I167,0)</f>
        <v>0</v>
      </c>
      <c r="L167" s="430"/>
      <c r="M167" s="430"/>
      <c r="N167" s="430"/>
      <c r="O167" s="430"/>
      <c r="P167" s="430"/>
    </row>
    <row r="168" spans="1:16" ht="18.75" hidden="1" x14ac:dyDescent="0.25">
      <c r="A168" s="706"/>
      <c r="B168" s="420"/>
      <c r="C168" s="420"/>
      <c r="D168" s="540" t="s">
        <v>64</v>
      </c>
      <c r="E168" s="420"/>
      <c r="F168" s="420"/>
      <c r="G168" s="424"/>
      <c r="H168" s="539" t="s">
        <v>33</v>
      </c>
      <c r="I168" s="201">
        <f ca="1">IFERROR(__xludf.DUMMYFUNCTION("IMPORTRANGE(""https://docs.google.com/spreadsheets/d/1eHaY18a8A9IcSdp1K8H6x8fbOy06t2VsZHhMHf-1x7Y/edit?usp=sharing"",""แผน!Z73"")"),0)</f>
        <v>0</v>
      </c>
      <c r="J168" s="523">
        <v>0</v>
      </c>
      <c r="K168" s="522">
        <f ca="1">IF(I168&gt;0,J168*100/I168,0)</f>
        <v>0</v>
      </c>
      <c r="L168" s="430"/>
      <c r="M168" s="430"/>
      <c r="N168" s="430"/>
      <c r="O168" s="430"/>
      <c r="P168" s="430"/>
    </row>
    <row r="169" spans="1:16" ht="18.75" hidden="1" x14ac:dyDescent="0.25">
      <c r="A169" s="863"/>
      <c r="B169" s="649"/>
      <c r="C169" s="649"/>
      <c r="D169" s="862" t="s">
        <v>65</v>
      </c>
      <c r="E169" s="649"/>
      <c r="F169" s="649"/>
      <c r="G169" s="648"/>
      <c r="H169" s="861" t="s">
        <v>33</v>
      </c>
      <c r="I169" s="513">
        <f ca="1">IFERROR(__xludf.DUMMYFUNCTION("IMPORTRANGE(""https://docs.google.com/spreadsheets/d/1eHaY18a8A9IcSdp1K8H6x8fbOy06t2VsZHhMHf-1x7Y/edit?usp=sharing"",""แผน!Z73"")"),0)</f>
        <v>0</v>
      </c>
      <c r="J169" s="512">
        <v>0</v>
      </c>
      <c r="K169" s="511">
        <f ca="1">IF(I169&gt;0,J169*100/I169,0)</f>
        <v>0</v>
      </c>
      <c r="L169" s="645"/>
      <c r="M169" s="645"/>
      <c r="N169" s="645"/>
      <c r="O169" s="645"/>
      <c r="P169" s="645"/>
    </row>
    <row r="170" spans="1:16" ht="19.5" x14ac:dyDescent="0.3">
      <c r="A170" s="860" t="s">
        <v>66</v>
      </c>
      <c r="B170" s="858"/>
      <c r="C170" s="858"/>
      <c r="D170" s="858"/>
      <c r="E170" s="859"/>
      <c r="F170" s="859"/>
      <c r="G170" s="859"/>
      <c r="H170" s="859"/>
      <c r="I170" s="857"/>
      <c r="J170" s="857"/>
      <c r="K170" s="856"/>
      <c r="L170" s="856"/>
      <c r="M170" s="856"/>
      <c r="N170" s="856"/>
      <c r="O170" s="856"/>
      <c r="P170" s="855"/>
    </row>
    <row r="171" spans="1:16" ht="19.5" x14ac:dyDescent="0.3">
      <c r="A171" s="854" t="s">
        <v>67</v>
      </c>
      <c r="B171" s="835"/>
      <c r="C171" s="835"/>
      <c r="D171" s="834"/>
      <c r="E171" s="834"/>
      <c r="F171" s="834"/>
      <c r="G171" s="834"/>
      <c r="H171" s="833"/>
      <c r="I171" s="831"/>
      <c r="J171" s="831"/>
      <c r="K171" s="830"/>
      <c r="L171" s="830"/>
      <c r="M171" s="830"/>
      <c r="N171" s="830"/>
      <c r="O171" s="830"/>
      <c r="P171" s="830"/>
    </row>
    <row r="172" spans="1:16" ht="19.5" x14ac:dyDescent="0.3">
      <c r="A172" s="829"/>
      <c r="B172" s="750" t="s">
        <v>68</v>
      </c>
      <c r="C172" s="766"/>
      <c r="D172" s="704"/>
      <c r="E172" s="704"/>
      <c r="F172" s="704"/>
      <c r="G172" s="703"/>
      <c r="H172" s="1010" t="s">
        <v>33</v>
      </c>
      <c r="I172" s="851">
        <f ca="1">I183+I184</f>
        <v>7</v>
      </c>
      <c r="J172" s="851">
        <f>J183+J184</f>
        <v>7</v>
      </c>
      <c r="K172" s="850">
        <f ca="1">IF(I172&gt;0,J172*100/I172,0)</f>
        <v>100</v>
      </c>
      <c r="L172" s="826"/>
      <c r="M172" s="826"/>
      <c r="N172" s="826"/>
      <c r="O172" s="826"/>
      <c r="P172" s="826"/>
    </row>
    <row r="173" spans="1:16" ht="19.5" x14ac:dyDescent="0.3">
      <c r="A173" s="706"/>
      <c r="B173" s="420"/>
      <c r="C173" s="740" t="s">
        <v>16</v>
      </c>
      <c r="D173" s="739" t="s">
        <v>17</v>
      </c>
      <c r="E173" s="420"/>
      <c r="F173" s="420"/>
      <c r="G173" s="424"/>
      <c r="H173" s="738" t="s">
        <v>12</v>
      </c>
      <c r="I173" s="429"/>
      <c r="J173" s="429"/>
      <c r="K173" s="430"/>
      <c r="L173" s="737">
        <f ca="1">L174+L175</f>
        <v>19590</v>
      </c>
      <c r="M173" s="737">
        <f ca="1">M174+M175</f>
        <v>19590</v>
      </c>
      <c r="N173" s="737">
        <f ca="1">N174+N175</f>
        <v>0</v>
      </c>
      <c r="O173" s="737">
        <f ca="1">IF(L173&gt;0,N173*100/L173,0)</f>
        <v>0</v>
      </c>
      <c r="P173" s="737">
        <f ca="1">IF(M173&gt;0,N173*100/M173,0)</f>
        <v>0</v>
      </c>
    </row>
    <row r="174" spans="1:16" ht="18.75" hidden="1" x14ac:dyDescent="0.25">
      <c r="A174" s="706"/>
      <c r="B174" s="420"/>
      <c r="C174" s="420"/>
      <c r="D174" s="420"/>
      <c r="E174" s="540" t="s">
        <v>18</v>
      </c>
      <c r="F174" s="420"/>
      <c r="G174" s="424"/>
      <c r="H174" s="544" t="s">
        <v>12</v>
      </c>
      <c r="I174" s="429"/>
      <c r="J174" s="429"/>
      <c r="K174" s="430"/>
      <c r="L174" s="522">
        <f>L177+L180</f>
        <v>0</v>
      </c>
      <c r="M174" s="522">
        <f>M177+M180</f>
        <v>0</v>
      </c>
      <c r="N174" s="522">
        <f>N177+N180</f>
        <v>0</v>
      </c>
      <c r="O174" s="522">
        <f>IF(L174&gt;0,N174*100/L174,0)</f>
        <v>0</v>
      </c>
      <c r="P174" s="522">
        <f>IF(M174&gt;0,N174*100/M174,0)</f>
        <v>0</v>
      </c>
    </row>
    <row r="175" spans="1:16" ht="18.75" x14ac:dyDescent="0.25">
      <c r="A175" s="706"/>
      <c r="B175" s="420"/>
      <c r="C175" s="420"/>
      <c r="D175" s="420"/>
      <c r="E175" s="295" t="s">
        <v>19</v>
      </c>
      <c r="F175" s="420"/>
      <c r="G175" s="424"/>
      <c r="H175" s="442" t="s">
        <v>12</v>
      </c>
      <c r="I175" s="429"/>
      <c r="J175" s="429"/>
      <c r="K175" s="430"/>
      <c r="L175" s="427">
        <f ca="1">L178+L181</f>
        <v>19590</v>
      </c>
      <c r="M175" s="427">
        <f ca="1">M178+M181</f>
        <v>19590</v>
      </c>
      <c r="N175" s="427">
        <f ca="1">N178+N181</f>
        <v>0</v>
      </c>
      <c r="O175" s="427">
        <f ca="1">IF(L175&gt;0,N175*100/L175,0)</f>
        <v>0</v>
      </c>
      <c r="P175" s="427">
        <f ca="1">IF(M175&gt;0,N175*100/M175,0)</f>
        <v>0</v>
      </c>
    </row>
    <row r="176" spans="1:16" ht="18.75" x14ac:dyDescent="0.25">
      <c r="A176" s="706"/>
      <c r="B176" s="420"/>
      <c r="C176" s="420"/>
      <c r="D176" s="735" t="s">
        <v>20</v>
      </c>
      <c r="E176" s="420"/>
      <c r="F176" s="420"/>
      <c r="G176" s="424"/>
      <c r="H176" s="736" t="s">
        <v>12</v>
      </c>
      <c r="I176" s="701"/>
      <c r="J176" s="701"/>
      <c r="K176" s="700"/>
      <c r="L176" s="427">
        <f ca="1">L177+L178</f>
        <v>19590</v>
      </c>
      <c r="M176" s="427">
        <f ca="1">M177+M178</f>
        <v>19590</v>
      </c>
      <c r="N176" s="427">
        <f ca="1">N177+N178</f>
        <v>0</v>
      </c>
      <c r="O176" s="427">
        <f ca="1">IF(L176&gt;0,N176*100/L176,0)</f>
        <v>0</v>
      </c>
      <c r="P176" s="427">
        <f ca="1">IF(M176&gt;0,N176*100/M176,0)</f>
        <v>0</v>
      </c>
    </row>
    <row r="177" spans="1:16" ht="18.75" hidden="1" x14ac:dyDescent="0.25">
      <c r="A177" s="706"/>
      <c r="B177" s="420"/>
      <c r="C177" s="420"/>
      <c r="D177" s="420"/>
      <c r="E177" s="540" t="s">
        <v>34</v>
      </c>
      <c r="F177" s="420"/>
      <c r="G177" s="424"/>
      <c r="H177" s="542" t="s">
        <v>12</v>
      </c>
      <c r="I177" s="701"/>
      <c r="J177" s="701"/>
      <c r="K177" s="700"/>
      <c r="L177" s="522">
        <v>0</v>
      </c>
      <c r="M177" s="522">
        <v>0</v>
      </c>
      <c r="N177" s="522">
        <v>0</v>
      </c>
      <c r="O177" s="522">
        <f>IF(L177&gt;0,N177*100/L177,0)</f>
        <v>0</v>
      </c>
      <c r="P177" s="522">
        <f>IF(M177&gt;0,N177*100/M177,0)</f>
        <v>0</v>
      </c>
    </row>
    <row r="178" spans="1:16" ht="18.75" x14ac:dyDescent="0.25">
      <c r="A178" s="706"/>
      <c r="B178" s="420"/>
      <c r="C178" s="420"/>
      <c r="D178" s="420"/>
      <c r="E178" s="295" t="s">
        <v>35</v>
      </c>
      <c r="F178" s="420"/>
      <c r="G178" s="424"/>
      <c r="H178" s="736" t="s">
        <v>12</v>
      </c>
      <c r="I178" s="701"/>
      <c r="J178" s="701"/>
      <c r="K178" s="700"/>
      <c r="L178" s="427">
        <f ca="1">IFERROR(__xludf.DUMMYFUNCTION("IMPORTRANGE(""https://docs.google.com/spreadsheets/d/1-uDff_7J0KD5mKrp0Vvzr7lt3OU09vwQwhkpOPPYv2Y/edit?usp=sharing"",""งบพรบ!CK73"")"),19590)</f>
        <v>19590</v>
      </c>
      <c r="M178" s="427">
        <f ca="1">IFERROR(__xludf.DUMMYFUNCTION("IMPORTRANGE(""https://docs.google.com/spreadsheets/d/1-uDff_7J0KD5mKrp0Vvzr7lt3OU09vwQwhkpOPPYv2Y/edit?usp=sharing"",""งบพรบ!CP73"")"),19590)</f>
        <v>19590</v>
      </c>
      <c r="N178" s="427">
        <f ca="1">IFERROR(__xludf.DUMMYFUNCTION("IMPORTRANGE(""https://docs.google.com/spreadsheets/d/1-uDff_7J0KD5mKrp0Vvzr7lt3OU09vwQwhkpOPPYv2Y/edit?usp=sharing"",""งบพรบ!CR73"")"),0)</f>
        <v>0</v>
      </c>
      <c r="O178" s="427">
        <f ca="1">IF(L178&gt;0,N178*100/L178,0)</f>
        <v>0</v>
      </c>
      <c r="P178" s="427">
        <f ca="1">IF(M178&gt;0,N178*100/M178,0)</f>
        <v>0</v>
      </c>
    </row>
    <row r="179" spans="1:16" ht="18.75" x14ac:dyDescent="0.25">
      <c r="A179" s="706"/>
      <c r="B179" s="420"/>
      <c r="C179" s="420"/>
      <c r="D179" s="735" t="s">
        <v>21</v>
      </c>
      <c r="E179" s="420"/>
      <c r="F179" s="420"/>
      <c r="G179" s="424"/>
      <c r="H179" s="727" t="s">
        <v>12</v>
      </c>
      <c r="I179" s="701"/>
      <c r="J179" s="701"/>
      <c r="K179" s="700"/>
      <c r="L179" s="427">
        <f ca="1">L180+L181</f>
        <v>0</v>
      </c>
      <c r="M179" s="427">
        <f ca="1">M180+M181</f>
        <v>0</v>
      </c>
      <c r="N179" s="427">
        <f ca="1">N180+N181</f>
        <v>0</v>
      </c>
      <c r="O179" s="427">
        <f ca="1">IF(L179&gt;0,N179*100/L179,0)</f>
        <v>0</v>
      </c>
      <c r="P179" s="427">
        <f ca="1">IF(M179&gt;0,N179*100/M179,0)</f>
        <v>0</v>
      </c>
    </row>
    <row r="180" spans="1:16" ht="18.75" hidden="1" x14ac:dyDescent="0.25">
      <c r="A180" s="706"/>
      <c r="B180" s="420"/>
      <c r="C180" s="420"/>
      <c r="D180" s="420"/>
      <c r="E180" s="540" t="s">
        <v>18</v>
      </c>
      <c r="F180" s="420"/>
      <c r="G180" s="424"/>
      <c r="H180" s="542" t="s">
        <v>12</v>
      </c>
      <c r="I180" s="701"/>
      <c r="J180" s="701"/>
      <c r="K180" s="700"/>
      <c r="L180" s="522">
        <v>0</v>
      </c>
      <c r="M180" s="522">
        <v>0</v>
      </c>
      <c r="N180" s="522">
        <v>0</v>
      </c>
      <c r="O180" s="522">
        <f>IF(L180&gt;0,N180*100/L180,0)</f>
        <v>0</v>
      </c>
      <c r="P180" s="522">
        <f>IF(M180&gt;0,N180*100/M180,0)</f>
        <v>0</v>
      </c>
    </row>
    <row r="181" spans="1:16" ht="18.75" x14ac:dyDescent="0.25">
      <c r="A181" s="706"/>
      <c r="B181" s="420"/>
      <c r="C181" s="420"/>
      <c r="D181" s="420"/>
      <c r="E181" s="295" t="s">
        <v>19</v>
      </c>
      <c r="F181" s="420"/>
      <c r="G181" s="424"/>
      <c r="H181" s="727" t="s">
        <v>12</v>
      </c>
      <c r="I181" s="701"/>
      <c r="J181" s="701"/>
      <c r="K181" s="700"/>
      <c r="L181" s="427">
        <f ca="1">IFERROR(__xludf.DUMMYFUNCTION("IMPORTRANGE(""https://docs.google.com/spreadsheets/d/1-uDff_7J0KD5mKrp0Vvzr7lt3OU09vwQwhkpOPPYv2Y/edit?usp=sharing"",""งบพรบ!CN73"")"),0)</f>
        <v>0</v>
      </c>
      <c r="M181" s="427">
        <f ca="1">IFERROR(__xludf.DUMMYFUNCTION("IMPORTRANGE(""https://docs.google.com/spreadsheets/d/1-uDff_7J0KD5mKrp0Vvzr7lt3OU09vwQwhkpOPPYv2Y/edit?usp=sharing"",""งบพรบ!CQ73"")"),0)</f>
        <v>0</v>
      </c>
      <c r="N181" s="427">
        <f ca="1">IFERROR(__xludf.DUMMYFUNCTION("IMPORTRANGE(""https://docs.google.com/spreadsheets/d/1-uDff_7J0KD5mKrp0Vvzr7lt3OU09vwQwhkpOPPYv2Y/edit?usp=sharing"",""งบพรบ!CS73"")"),0)</f>
        <v>0</v>
      </c>
      <c r="O181" s="427">
        <f ca="1">IF(L181&gt;0,N181*100/L181,0)</f>
        <v>0</v>
      </c>
      <c r="P181" s="427">
        <f ca="1">IF(M181&gt;0,N181*100/M181,0)</f>
        <v>0</v>
      </c>
    </row>
    <row r="182" spans="1:16" ht="19.5" x14ac:dyDescent="0.3">
      <c r="A182" s="705"/>
      <c r="B182" s="432"/>
      <c r="C182" s="740" t="s">
        <v>16</v>
      </c>
      <c r="D182" s="759" t="s">
        <v>36</v>
      </c>
      <c r="E182" s="704"/>
      <c r="F182" s="704"/>
      <c r="G182" s="703"/>
      <c r="H182" s="730"/>
      <c r="I182" s="429"/>
      <c r="J182" s="429"/>
      <c r="K182" s="430"/>
      <c r="L182" s="430"/>
      <c r="M182" s="430"/>
      <c r="N182" s="430"/>
      <c r="O182" s="430"/>
      <c r="P182" s="430"/>
    </row>
    <row r="183" spans="1:16" ht="18.75" x14ac:dyDescent="0.25">
      <c r="A183" s="419"/>
      <c r="B183" s="420"/>
      <c r="C183" s="421"/>
      <c r="D183" s="751" t="s">
        <v>69</v>
      </c>
      <c r="E183" s="420"/>
      <c r="F183" s="420"/>
      <c r="G183" s="424"/>
      <c r="H183" s="425" t="s">
        <v>33</v>
      </c>
      <c r="I183" s="426">
        <f ca="1">IFERROR(__xludf.DUMMYFUNCTION("IMPORTRANGE(""https://docs.google.com/spreadsheets/d/1eHaY18a8A9IcSdp1K8H6x8fbOy06t2VsZHhMHf-1x7Y/edit?usp=sharing"",""แผน!AA73"")"),7)</f>
        <v>7</v>
      </c>
      <c r="J183" s="758">
        <v>7</v>
      </c>
      <c r="K183" s="427">
        <f ca="1">IF(I183&gt;0,J183*100/I183,0)</f>
        <v>100</v>
      </c>
      <c r="L183" s="430"/>
      <c r="M183" s="430"/>
      <c r="N183" s="430"/>
      <c r="O183" s="430"/>
      <c r="P183" s="430"/>
    </row>
    <row r="184" spans="1:16" ht="18.75" hidden="1" x14ac:dyDescent="0.25">
      <c r="A184" s="419"/>
      <c r="B184" s="421"/>
      <c r="C184" s="421"/>
      <c r="D184" s="623" t="s">
        <v>70</v>
      </c>
      <c r="E184" s="420"/>
      <c r="F184" s="420"/>
      <c r="G184" s="424"/>
      <c r="H184" s="524" t="s">
        <v>33</v>
      </c>
      <c r="I184" s="201">
        <v>0</v>
      </c>
      <c r="J184" s="201">
        <v>0</v>
      </c>
      <c r="K184" s="522">
        <f>IF(I184&gt;0,J184*100/I184,0)</f>
        <v>0</v>
      </c>
      <c r="L184" s="430"/>
      <c r="M184" s="430"/>
      <c r="N184" s="430"/>
      <c r="O184" s="430"/>
      <c r="P184" s="430"/>
    </row>
    <row r="185" spans="1:16" ht="19.5" x14ac:dyDescent="0.3">
      <c r="A185" s="829"/>
      <c r="B185" s="750" t="s">
        <v>71</v>
      </c>
      <c r="C185" s="766"/>
      <c r="D185" s="704"/>
      <c r="E185" s="704"/>
      <c r="F185" s="704"/>
      <c r="G185" s="703"/>
      <c r="H185" s="1010" t="s">
        <v>33</v>
      </c>
      <c r="I185" s="851">
        <f ca="1">I230+I231</f>
        <v>0</v>
      </c>
      <c r="J185" s="851">
        <f>J230+J231</f>
        <v>0</v>
      </c>
      <c r="K185" s="850">
        <f ca="1">IF(I185&gt;0,J185*100/I185,0)</f>
        <v>0</v>
      </c>
      <c r="L185" s="826"/>
      <c r="M185" s="826"/>
      <c r="N185" s="826"/>
      <c r="O185" s="826"/>
      <c r="P185" s="826"/>
    </row>
    <row r="186" spans="1:16" ht="19.5" x14ac:dyDescent="0.3">
      <c r="A186" s="706"/>
      <c r="B186" s="420"/>
      <c r="C186" s="740" t="s">
        <v>16</v>
      </c>
      <c r="D186" s="739" t="s">
        <v>17</v>
      </c>
      <c r="E186" s="420"/>
      <c r="F186" s="420"/>
      <c r="G186" s="424"/>
      <c r="H186" s="738" t="s">
        <v>12</v>
      </c>
      <c r="I186" s="429"/>
      <c r="J186" s="429"/>
      <c r="K186" s="430"/>
      <c r="L186" s="737">
        <f ca="1">L187+L188</f>
        <v>84200</v>
      </c>
      <c r="M186" s="737">
        <f ca="1">M187+M188</f>
        <v>57500</v>
      </c>
      <c r="N186" s="737">
        <f ca="1">N187+N188</f>
        <v>18700</v>
      </c>
      <c r="O186" s="737">
        <f ca="1">IF(L186&gt;0,N186*100/L186,0)</f>
        <v>22.209026128266032</v>
      </c>
      <c r="P186" s="737">
        <f ca="1">IF(M186&gt;0,N186*100/M186,0)</f>
        <v>32.521739130434781</v>
      </c>
    </row>
    <row r="187" spans="1:16" ht="18.75" hidden="1" x14ac:dyDescent="0.25">
      <c r="A187" s="706"/>
      <c r="B187" s="420"/>
      <c r="C187" s="420"/>
      <c r="D187" s="420"/>
      <c r="E187" s="540" t="s">
        <v>18</v>
      </c>
      <c r="F187" s="420"/>
      <c r="G187" s="424"/>
      <c r="H187" s="544" t="s">
        <v>12</v>
      </c>
      <c r="I187" s="429"/>
      <c r="J187" s="429"/>
      <c r="K187" s="430"/>
      <c r="L187" s="522">
        <f>L190+L193</f>
        <v>0</v>
      </c>
      <c r="M187" s="522">
        <f>M190+M193</f>
        <v>0</v>
      </c>
      <c r="N187" s="522">
        <f>N190+N193</f>
        <v>0</v>
      </c>
      <c r="O187" s="522">
        <f>IF(L187&gt;0,N187*100/L187,0)</f>
        <v>0</v>
      </c>
      <c r="P187" s="522">
        <f>IF(M187&gt;0,N187*100/M187,0)</f>
        <v>0</v>
      </c>
    </row>
    <row r="188" spans="1:16" ht="18.75" x14ac:dyDescent="0.25">
      <c r="A188" s="706"/>
      <c r="B188" s="420"/>
      <c r="C188" s="420"/>
      <c r="D188" s="420"/>
      <c r="E188" s="295" t="s">
        <v>19</v>
      </c>
      <c r="F188" s="420"/>
      <c r="G188" s="424"/>
      <c r="H188" s="442" t="s">
        <v>12</v>
      </c>
      <c r="I188" s="429"/>
      <c r="J188" s="429"/>
      <c r="K188" s="430"/>
      <c r="L188" s="427">
        <f ca="1">L191+L194</f>
        <v>84200</v>
      </c>
      <c r="M188" s="427">
        <f ca="1">M191+M194</f>
        <v>57500</v>
      </c>
      <c r="N188" s="427">
        <f ca="1">N191+N194</f>
        <v>18700</v>
      </c>
      <c r="O188" s="427">
        <f ca="1">IF(L188&gt;0,N188*100/L188,0)</f>
        <v>22.209026128266032</v>
      </c>
      <c r="P188" s="427">
        <f ca="1">IF(M188&gt;0,N188*100/M188,0)</f>
        <v>32.521739130434781</v>
      </c>
    </row>
    <row r="189" spans="1:16" ht="18.75" x14ac:dyDescent="0.25">
      <c r="A189" s="706"/>
      <c r="B189" s="420"/>
      <c r="C189" s="420"/>
      <c r="D189" s="735" t="s">
        <v>20</v>
      </c>
      <c r="E189" s="420"/>
      <c r="F189" s="420"/>
      <c r="G189" s="424"/>
      <c r="H189" s="736" t="s">
        <v>12</v>
      </c>
      <c r="I189" s="701"/>
      <c r="J189" s="701"/>
      <c r="K189" s="700"/>
      <c r="L189" s="427">
        <f ca="1">L190+L191</f>
        <v>84200</v>
      </c>
      <c r="M189" s="427">
        <f ca="1">M190+M191</f>
        <v>57500</v>
      </c>
      <c r="N189" s="427">
        <f ca="1">N190+N191</f>
        <v>18700</v>
      </c>
      <c r="O189" s="427">
        <f ca="1">IF(L189&gt;0,N189*100/L189,0)</f>
        <v>22.209026128266032</v>
      </c>
      <c r="P189" s="427">
        <f ca="1">IF(M189&gt;0,N189*100/M189,0)</f>
        <v>32.521739130434781</v>
      </c>
    </row>
    <row r="190" spans="1:16" ht="18.75" hidden="1" x14ac:dyDescent="0.25">
      <c r="A190" s="706"/>
      <c r="B190" s="420"/>
      <c r="C190" s="420"/>
      <c r="D190" s="420"/>
      <c r="E190" s="540" t="s">
        <v>34</v>
      </c>
      <c r="F190" s="420"/>
      <c r="G190" s="424"/>
      <c r="H190" s="542" t="s">
        <v>12</v>
      </c>
      <c r="I190" s="701"/>
      <c r="J190" s="701"/>
      <c r="K190" s="700"/>
      <c r="L190" s="522">
        <v>0</v>
      </c>
      <c r="M190" s="522">
        <v>0</v>
      </c>
      <c r="N190" s="522">
        <v>0</v>
      </c>
      <c r="O190" s="522">
        <f>IF(L190&gt;0,N190*100/L190,0)</f>
        <v>0</v>
      </c>
      <c r="P190" s="522">
        <f>IF(M190&gt;0,N190*100/M190,0)</f>
        <v>0</v>
      </c>
    </row>
    <row r="191" spans="1:16" ht="18.75" x14ac:dyDescent="0.25">
      <c r="A191" s="706"/>
      <c r="B191" s="420"/>
      <c r="C191" s="420"/>
      <c r="D191" s="420"/>
      <c r="E191" s="295" t="s">
        <v>35</v>
      </c>
      <c r="F191" s="420"/>
      <c r="G191" s="424"/>
      <c r="H191" s="736" t="s">
        <v>12</v>
      </c>
      <c r="I191" s="701"/>
      <c r="J191" s="701"/>
      <c r="K191" s="700"/>
      <c r="L191" s="427">
        <f ca="1">IFERROR(__xludf.DUMMYFUNCTION("IMPORTRANGE(""https://docs.google.com/spreadsheets/d/1-uDff_7J0KD5mKrp0Vvzr7lt3OU09vwQwhkpOPPYv2Y/edit?usp=sharing"",""งบพรบ!CU73"")"),84200)</f>
        <v>84200</v>
      </c>
      <c r="M191" s="427">
        <f ca="1">IFERROR(__xludf.DUMMYFUNCTION("IMPORTRANGE(""https://docs.google.com/spreadsheets/d/1-uDff_7J0KD5mKrp0Vvzr7lt3OU09vwQwhkpOPPYv2Y/edit?usp=sharing"",""งบพรบ!CZ73"")"),57500)</f>
        <v>57500</v>
      </c>
      <c r="N191" s="427">
        <f ca="1">IFERROR(__xludf.DUMMYFUNCTION("IMPORTRANGE(""https://docs.google.com/spreadsheets/d/1-uDff_7J0KD5mKrp0Vvzr7lt3OU09vwQwhkpOPPYv2Y/edit?usp=sharing"",""งบพรบ!DB73"")"),18700)</f>
        <v>18700</v>
      </c>
      <c r="O191" s="427">
        <f ca="1">IF(L191&gt;0,N191*100/L191,0)</f>
        <v>22.209026128266032</v>
      </c>
      <c r="P191" s="427">
        <f ca="1">IF(M191&gt;0,N191*100/M191,0)</f>
        <v>32.521739130434781</v>
      </c>
    </row>
    <row r="192" spans="1:16" ht="18.75" x14ac:dyDescent="0.25">
      <c r="A192" s="706"/>
      <c r="B192" s="420"/>
      <c r="C192" s="420"/>
      <c r="D192" s="735" t="s">
        <v>21</v>
      </c>
      <c r="E192" s="420"/>
      <c r="F192" s="420"/>
      <c r="G192" s="424"/>
      <c r="H192" s="727" t="s">
        <v>12</v>
      </c>
      <c r="I192" s="701"/>
      <c r="J192" s="701"/>
      <c r="K192" s="700"/>
      <c r="L192" s="427">
        <f ca="1">L193+L194</f>
        <v>0</v>
      </c>
      <c r="M192" s="427">
        <f ca="1">M193+M194</f>
        <v>0</v>
      </c>
      <c r="N192" s="427">
        <f ca="1">N193+N194</f>
        <v>0</v>
      </c>
      <c r="O192" s="427">
        <f ca="1">IF(L192&gt;0,N192*100/L192,0)</f>
        <v>0</v>
      </c>
      <c r="P192" s="427">
        <f ca="1">IF(M192&gt;0,N192*100/M192,0)</f>
        <v>0</v>
      </c>
    </row>
    <row r="193" spans="1:16" ht="18.75" hidden="1" x14ac:dyDescent="0.25">
      <c r="A193" s="706"/>
      <c r="B193" s="420"/>
      <c r="C193" s="420"/>
      <c r="D193" s="420"/>
      <c r="E193" s="540" t="s">
        <v>18</v>
      </c>
      <c r="F193" s="420"/>
      <c r="G193" s="424"/>
      <c r="H193" s="542" t="s">
        <v>12</v>
      </c>
      <c r="I193" s="701"/>
      <c r="J193" s="701"/>
      <c r="K193" s="700"/>
      <c r="L193" s="522">
        <v>0</v>
      </c>
      <c r="M193" s="522">
        <v>0</v>
      </c>
      <c r="N193" s="522">
        <v>0</v>
      </c>
      <c r="O193" s="522">
        <f>IF(L193&gt;0,N193*100/L193,0)</f>
        <v>0</v>
      </c>
      <c r="P193" s="522">
        <f>IF(M193&gt;0,N193*100/M193,0)</f>
        <v>0</v>
      </c>
    </row>
    <row r="194" spans="1:16" ht="18.75" x14ac:dyDescent="0.25">
      <c r="A194" s="706"/>
      <c r="B194" s="420"/>
      <c r="C194" s="420"/>
      <c r="D194" s="420"/>
      <c r="E194" s="295" t="s">
        <v>19</v>
      </c>
      <c r="F194" s="420"/>
      <c r="G194" s="424"/>
      <c r="H194" s="727" t="s">
        <v>12</v>
      </c>
      <c r="I194" s="701"/>
      <c r="J194" s="701"/>
      <c r="K194" s="700"/>
      <c r="L194" s="427">
        <f ca="1">IFERROR(__xludf.DUMMYFUNCTION("IMPORTRANGE(""https://docs.google.com/spreadsheets/d/1-uDff_7J0KD5mKrp0Vvzr7lt3OU09vwQwhkpOPPYv2Y/edit?usp=sharing"",""งบพรบ!CX73"")"),0)</f>
        <v>0</v>
      </c>
      <c r="M194" s="427">
        <f ca="1">IFERROR(__xludf.DUMMYFUNCTION("IMPORTRANGE(""https://docs.google.com/spreadsheets/d/1-uDff_7J0KD5mKrp0Vvzr7lt3OU09vwQwhkpOPPYv2Y/edit?usp=sharing"",""งบพรบ!DA73"")"),0)</f>
        <v>0</v>
      </c>
      <c r="N194" s="427">
        <f ca="1">IFERROR(__xludf.DUMMYFUNCTION("IMPORTRANGE(""https://docs.google.com/spreadsheets/d/1-uDff_7J0KD5mKrp0Vvzr7lt3OU09vwQwhkpOPPYv2Y/edit?usp=sharing"",""งบพรบ!DC73"")"),0)</f>
        <v>0</v>
      </c>
      <c r="O194" s="427">
        <f ca="1">IF(L194&gt;0,N194*100/L194,0)</f>
        <v>0</v>
      </c>
      <c r="P194" s="427">
        <f ca="1">IF(M194&gt;0,N194*100/M194,0)</f>
        <v>0</v>
      </c>
    </row>
    <row r="195" spans="1:16" ht="19.5" x14ac:dyDescent="0.3">
      <c r="A195" s="434"/>
      <c r="B195" s="436"/>
      <c r="C195" s="848" t="s">
        <v>72</v>
      </c>
      <c r="D195" s="435"/>
      <c r="E195" s="435"/>
      <c r="F195" s="435"/>
      <c r="G195" s="438"/>
      <c r="H195" s="439" t="s">
        <v>73</v>
      </c>
      <c r="I195" s="440">
        <f ca="1">I198</f>
        <v>4</v>
      </c>
      <c r="J195" s="440">
        <f>J198</f>
        <v>1</v>
      </c>
      <c r="K195" s="441">
        <f ca="1">IF(I195&gt;0,J195*100/I195,0)</f>
        <v>25</v>
      </c>
      <c r="L195" s="575"/>
      <c r="M195" s="575"/>
      <c r="N195" s="575"/>
      <c r="O195" s="575"/>
      <c r="P195" s="575"/>
    </row>
    <row r="196" spans="1:16" ht="19.5" x14ac:dyDescent="0.3">
      <c r="A196" s="706"/>
      <c r="B196" s="420"/>
      <c r="C196" s="740" t="s">
        <v>16</v>
      </c>
      <c r="D196" s="846" t="s">
        <v>17</v>
      </c>
      <c r="E196" s="420"/>
      <c r="F196" s="420"/>
      <c r="G196" s="424"/>
      <c r="H196" s="841" t="s">
        <v>12</v>
      </c>
      <c r="I196" s="429"/>
      <c r="J196" s="429"/>
      <c r="K196" s="430"/>
      <c r="L196" s="737">
        <f ca="1">IFERROR(__xludf.DUMMYFUNCTION("IMPORTRANGE(""https://docs.google.com/spreadsheets/d/1eHaY18a8A9IcSdp1K8H6x8fbOy06t2VsZHhMHf-1x7Y/edit?usp=sharing"",""แผน!AB73"")"),6000)</f>
        <v>6000</v>
      </c>
      <c r="M196" s="430"/>
      <c r="N196" s="849"/>
      <c r="O196" s="737">
        <f ca="1">IF(L196&gt;0,N196*100/L196,0)</f>
        <v>0</v>
      </c>
      <c r="P196" s="737">
        <f>IF(M196&gt;0,N196*100/M196,0)</f>
        <v>0</v>
      </c>
    </row>
    <row r="197" spans="1:16" ht="19.5" x14ac:dyDescent="0.3">
      <c r="A197" s="705"/>
      <c r="B197" s="432"/>
      <c r="C197" s="740" t="s">
        <v>16</v>
      </c>
      <c r="D197" s="759" t="s">
        <v>36</v>
      </c>
      <c r="E197" s="704"/>
      <c r="F197" s="704"/>
      <c r="G197" s="703"/>
      <c r="H197" s="702"/>
      <c r="I197" s="429"/>
      <c r="J197" s="429"/>
      <c r="K197" s="430"/>
      <c r="L197" s="430"/>
      <c r="M197" s="430"/>
      <c r="N197" s="430"/>
      <c r="O197" s="430"/>
      <c r="P197" s="430"/>
    </row>
    <row r="198" spans="1:16" ht="18.75" x14ac:dyDescent="0.25">
      <c r="A198" s="705"/>
      <c r="B198" s="432"/>
      <c r="C198" s="432"/>
      <c r="D198" s="423" t="s">
        <v>74</v>
      </c>
      <c r="E198" s="422"/>
      <c r="F198" s="422"/>
      <c r="G198" s="702"/>
      <c r="H198" s="791" t="s">
        <v>73</v>
      </c>
      <c r="I198" s="426">
        <f ca="1">IFERROR(__xludf.DUMMYFUNCTION("IMPORTRANGE(""https://docs.google.com/spreadsheets/d/1eHaY18a8A9IcSdp1K8H6x8fbOy06t2VsZHhMHf-1x7Y/edit?usp=sharing"",""แผน!AE73"")"),4)</f>
        <v>4</v>
      </c>
      <c r="J198" s="758">
        <v>1</v>
      </c>
      <c r="K198" s="427">
        <f ca="1">IF(I198&gt;0,J198*100/I198,0)</f>
        <v>25</v>
      </c>
      <c r="L198" s="430"/>
      <c r="M198" s="430"/>
      <c r="N198" s="430"/>
      <c r="O198" s="430"/>
      <c r="P198" s="430"/>
    </row>
    <row r="199" spans="1:16" ht="18.75" x14ac:dyDescent="0.25">
      <c r="A199" s="705"/>
      <c r="B199" s="432"/>
      <c r="C199" s="432"/>
      <c r="D199" s="423" t="s">
        <v>75</v>
      </c>
      <c r="E199" s="422"/>
      <c r="F199" s="422"/>
      <c r="G199" s="702"/>
      <c r="H199" s="425" t="s">
        <v>33</v>
      </c>
      <c r="I199" s="429"/>
      <c r="J199" s="426">
        <f>J200+J201</f>
        <v>30</v>
      </c>
      <c r="K199" s="430"/>
      <c r="L199" s="430"/>
      <c r="M199" s="430"/>
      <c r="N199" s="430"/>
      <c r="O199" s="430"/>
      <c r="P199" s="430"/>
    </row>
    <row r="200" spans="1:16" ht="18.75" x14ac:dyDescent="0.25">
      <c r="A200" s="705"/>
      <c r="B200" s="432"/>
      <c r="C200" s="432"/>
      <c r="D200" s="432"/>
      <c r="E200" s="423" t="s">
        <v>76</v>
      </c>
      <c r="F200" s="422"/>
      <c r="G200" s="702"/>
      <c r="H200" s="425" t="s">
        <v>33</v>
      </c>
      <c r="I200" s="429"/>
      <c r="J200" s="758">
        <v>30</v>
      </c>
      <c r="K200" s="430"/>
      <c r="L200" s="430"/>
      <c r="M200" s="430"/>
      <c r="N200" s="430"/>
      <c r="O200" s="430"/>
      <c r="P200" s="430"/>
    </row>
    <row r="201" spans="1:16" ht="18.75" x14ac:dyDescent="0.25">
      <c r="A201" s="705"/>
      <c r="B201" s="432"/>
      <c r="C201" s="432"/>
      <c r="D201" s="432"/>
      <c r="E201" s="423" t="s">
        <v>77</v>
      </c>
      <c r="F201" s="422"/>
      <c r="G201" s="702"/>
      <c r="H201" s="425" t="s">
        <v>33</v>
      </c>
      <c r="I201" s="429"/>
      <c r="J201" s="758">
        <v>0</v>
      </c>
      <c r="K201" s="430"/>
      <c r="L201" s="430"/>
      <c r="M201" s="430"/>
      <c r="N201" s="430"/>
      <c r="O201" s="430"/>
      <c r="P201" s="430"/>
    </row>
    <row r="202" spans="1:16" ht="19.5" hidden="1" x14ac:dyDescent="0.3">
      <c r="A202" s="434"/>
      <c r="B202" s="436"/>
      <c r="C202" s="848" t="s">
        <v>78</v>
      </c>
      <c r="D202" s="435"/>
      <c r="E202" s="435"/>
      <c r="F202" s="435"/>
      <c r="G202" s="438"/>
      <c r="H202" s="734" t="s">
        <v>79</v>
      </c>
      <c r="I202" s="440">
        <f ca="1">I209</f>
        <v>0</v>
      </c>
      <c r="J202" s="440">
        <f>J209</f>
        <v>0</v>
      </c>
      <c r="K202" s="441">
        <f ca="1">IF(I202&gt;0,J202*100/I202,0)</f>
        <v>0</v>
      </c>
      <c r="L202" s="575"/>
      <c r="M202" s="575"/>
      <c r="N202" s="575"/>
      <c r="O202" s="575"/>
      <c r="P202" s="575"/>
    </row>
    <row r="203" spans="1:16" ht="19.5" hidden="1" x14ac:dyDescent="0.3">
      <c r="A203" s="706"/>
      <c r="B203" s="420"/>
      <c r="C203" s="740" t="s">
        <v>16</v>
      </c>
      <c r="D203" s="846" t="s">
        <v>17</v>
      </c>
      <c r="E203" s="420"/>
      <c r="F203" s="420"/>
      <c r="G203" s="424"/>
      <c r="H203" s="841" t="s">
        <v>12</v>
      </c>
      <c r="I203" s="701"/>
      <c r="J203" s="701"/>
      <c r="K203" s="700"/>
      <c r="L203" s="737">
        <f ca="1">L204+L205+L206+L207</f>
        <v>0</v>
      </c>
      <c r="M203" s="430"/>
      <c r="N203" s="737">
        <f>N204+N205+N206+N207</f>
        <v>0</v>
      </c>
      <c r="O203" s="737">
        <f ca="1">IF(L203&gt;0,N203*100/L203,0)</f>
        <v>0</v>
      </c>
      <c r="P203" s="737">
        <f>IF(M203&gt;0,N203*100/M203,0)</f>
        <v>0</v>
      </c>
    </row>
    <row r="204" spans="1:16" ht="18.75" hidden="1" x14ac:dyDescent="0.25">
      <c r="A204" s="706"/>
      <c r="B204" s="421"/>
      <c r="C204" s="420"/>
      <c r="D204" s="295" t="s">
        <v>80</v>
      </c>
      <c r="E204" s="420"/>
      <c r="F204" s="420"/>
      <c r="G204" s="424"/>
      <c r="H204" s="736" t="s">
        <v>12</v>
      </c>
      <c r="I204" s="701"/>
      <c r="J204" s="701"/>
      <c r="K204" s="700"/>
      <c r="L204" s="427">
        <f ca="1">IFERROR(__xludf.DUMMYFUNCTION("IMPORTRANGE(""https://docs.google.com/spreadsheets/d/1eHaY18a8A9IcSdp1K8H6x8fbOy06t2VsZHhMHf-1x7Y/edit?usp=sharing"",""แผน!AG73"")"),0)</f>
        <v>0</v>
      </c>
      <c r="M204" s="430"/>
      <c r="N204" s="840">
        <v>0</v>
      </c>
      <c r="O204" s="700"/>
      <c r="P204" s="430"/>
    </row>
    <row r="205" spans="1:16" ht="18.75" hidden="1" x14ac:dyDescent="0.25">
      <c r="A205" s="419"/>
      <c r="B205" s="421"/>
      <c r="C205" s="420"/>
      <c r="D205" s="295" t="s">
        <v>82</v>
      </c>
      <c r="E205" s="420"/>
      <c r="F205" s="420"/>
      <c r="G205" s="424"/>
      <c r="H205" s="847" t="s">
        <v>12</v>
      </c>
      <c r="I205" s="429"/>
      <c r="J205" s="429"/>
      <c r="K205" s="430"/>
      <c r="L205" s="427">
        <f ca="1">IFERROR(__xludf.DUMMYFUNCTION("IMPORTRANGE(""https://docs.google.com/spreadsheets/d/1eHaY18a8A9IcSdp1K8H6x8fbOy06t2VsZHhMHf-1x7Y/edit?usp=sharing"",""แผน!AI73"")"),0)</f>
        <v>0</v>
      </c>
      <c r="M205" s="430"/>
      <c r="N205" s="840">
        <v>0</v>
      </c>
      <c r="O205" s="700"/>
      <c r="P205" s="430"/>
    </row>
    <row r="206" spans="1:16" ht="18.75" hidden="1" x14ac:dyDescent="0.25">
      <c r="A206" s="419"/>
      <c r="B206" s="421"/>
      <c r="C206" s="420"/>
      <c r="D206" s="295" t="s">
        <v>89</v>
      </c>
      <c r="E206" s="420"/>
      <c r="F206" s="420"/>
      <c r="G206" s="424"/>
      <c r="H206" s="847" t="s">
        <v>12</v>
      </c>
      <c r="I206" s="429"/>
      <c r="J206" s="429"/>
      <c r="K206" s="430"/>
      <c r="L206" s="427">
        <f ca="1">IFERROR(__xludf.DUMMYFUNCTION("IMPORTRANGE(""https://docs.google.com/spreadsheets/d/1eHaY18a8A9IcSdp1K8H6x8fbOy06t2VsZHhMHf-1x7Y/edit?usp=sharing"",""แผน!AJ73"")"),0)</f>
        <v>0</v>
      </c>
      <c r="M206" s="430"/>
      <c r="N206" s="840">
        <v>0</v>
      </c>
      <c r="O206" s="700"/>
      <c r="P206" s="430"/>
    </row>
    <row r="207" spans="1:16" ht="12.75" hidden="1" x14ac:dyDescent="0.2">
      <c r="A207" s="788"/>
      <c r="B207" s="787"/>
      <c r="C207" s="786"/>
      <c r="D207" s="786"/>
      <c r="E207" s="786"/>
      <c r="F207" s="786"/>
      <c r="G207" s="785"/>
      <c r="H207" s="785"/>
      <c r="I207" s="783"/>
      <c r="J207" s="783"/>
      <c r="K207" s="782"/>
      <c r="L207" s="782"/>
      <c r="M207" s="782"/>
      <c r="N207" s="782"/>
      <c r="O207" s="782"/>
      <c r="P207" s="782"/>
    </row>
    <row r="208" spans="1:16" ht="19.5" hidden="1" x14ac:dyDescent="0.3">
      <c r="A208" s="705"/>
      <c r="B208" s="432"/>
      <c r="C208" s="740" t="s">
        <v>16</v>
      </c>
      <c r="D208" s="759" t="s">
        <v>36</v>
      </c>
      <c r="E208" s="704"/>
      <c r="F208" s="704"/>
      <c r="G208" s="703"/>
      <c r="H208" s="702"/>
      <c r="I208" s="701"/>
      <c r="J208" s="701"/>
      <c r="K208" s="700"/>
      <c r="L208" s="700"/>
      <c r="M208" s="700"/>
      <c r="N208" s="700"/>
      <c r="O208" s="700"/>
      <c r="P208" s="700"/>
    </row>
    <row r="209" spans="1:16" ht="18.75" hidden="1" x14ac:dyDescent="0.25">
      <c r="A209" s="705"/>
      <c r="B209" s="432"/>
      <c r="C209" s="432"/>
      <c r="D209" s="728" t="s">
        <v>84</v>
      </c>
      <c r="E209" s="422"/>
      <c r="F209" s="422"/>
      <c r="G209" s="702"/>
      <c r="H209" s="844" t="s">
        <v>79</v>
      </c>
      <c r="I209" s="426">
        <f ca="1">IFERROR(__xludf.DUMMYFUNCTION("IMPORTRANGE(""https://docs.google.com/spreadsheets/d/1eHaY18a8A9IcSdp1K8H6x8fbOy06t2VsZHhMHf-1x7Y/edit?usp=sharing"",""แผน!AK73"")"),0)</f>
        <v>0</v>
      </c>
      <c r="J209" s="758">
        <v>0</v>
      </c>
      <c r="K209" s="789">
        <f ca="1">IF(I209&gt;0,J209*100/I209,0)</f>
        <v>0</v>
      </c>
      <c r="L209" s="430"/>
      <c r="M209" s="430"/>
      <c r="N209" s="430"/>
      <c r="O209" s="430"/>
      <c r="P209" s="430"/>
    </row>
    <row r="210" spans="1:16" ht="18.75" hidden="1" x14ac:dyDescent="0.25">
      <c r="A210" s="705"/>
      <c r="B210" s="432"/>
      <c r="C210" s="432"/>
      <c r="D210" s="423" t="s">
        <v>48</v>
      </c>
      <c r="E210" s="422"/>
      <c r="F210" s="422"/>
      <c r="G210" s="702"/>
      <c r="H210" s="702"/>
      <c r="I210" s="429"/>
      <c r="J210" s="429"/>
      <c r="K210" s="700"/>
      <c r="L210" s="430"/>
      <c r="M210" s="430"/>
      <c r="N210" s="430"/>
      <c r="O210" s="430"/>
      <c r="P210" s="430"/>
    </row>
    <row r="211" spans="1:16" ht="18.75" hidden="1" x14ac:dyDescent="0.25">
      <c r="A211" s="705"/>
      <c r="B211" s="432"/>
      <c r="C211" s="432"/>
      <c r="D211" s="422"/>
      <c r="E211" s="423" t="s">
        <v>85</v>
      </c>
      <c r="F211" s="422"/>
      <c r="G211" s="702"/>
      <c r="H211" s="844" t="s">
        <v>79</v>
      </c>
      <c r="I211" s="426">
        <f ca="1">IFERROR(__xludf.DUMMYFUNCTION("IMPORTRANGE(""https://docs.google.com/spreadsheets/d/1eHaY18a8A9IcSdp1K8H6x8fbOy06t2VsZHhMHf-1x7Y/edit?usp=sharing"",""แผน!AK73"")"),0)</f>
        <v>0</v>
      </c>
      <c r="J211" s="758">
        <v>0</v>
      </c>
      <c r="K211" s="789">
        <f ca="1">IF(I211&gt;0,J211*100/I211,0)</f>
        <v>0</v>
      </c>
      <c r="L211" s="430"/>
      <c r="M211" s="430"/>
      <c r="N211" s="430"/>
      <c r="O211" s="430"/>
      <c r="P211" s="430"/>
    </row>
    <row r="212" spans="1:16" ht="18.75" hidden="1" x14ac:dyDescent="0.25">
      <c r="A212" s="705"/>
      <c r="B212" s="432"/>
      <c r="C212" s="432"/>
      <c r="D212" s="422"/>
      <c r="E212" s="423" t="s">
        <v>86</v>
      </c>
      <c r="F212" s="422"/>
      <c r="G212" s="422"/>
      <c r="H212" s="791" t="s">
        <v>87</v>
      </c>
      <c r="I212" s="426">
        <f ca="1">IFERROR(__xludf.DUMMYFUNCTION("IMPORTRANGE(""https://docs.google.com/spreadsheets/d/1eHaY18a8A9IcSdp1K8H6x8fbOy06t2VsZHhMHf-1x7Y/edit?usp=sharing"",""แผน!AK73"")"),0)</f>
        <v>0</v>
      </c>
      <c r="J212" s="758">
        <v>0</v>
      </c>
      <c r="K212" s="789">
        <f ca="1">IF(I212&gt;0,J212*100/I212,0)</f>
        <v>0</v>
      </c>
      <c r="L212" s="430"/>
      <c r="M212" s="430"/>
      <c r="N212" s="430"/>
      <c r="O212" s="430"/>
      <c r="P212" s="430"/>
    </row>
    <row r="213" spans="1:16" ht="19.5" hidden="1" x14ac:dyDescent="0.3">
      <c r="A213" s="434"/>
      <c r="B213" s="436"/>
      <c r="C213" s="848" t="s">
        <v>88</v>
      </c>
      <c r="D213" s="435"/>
      <c r="E213" s="435"/>
      <c r="F213" s="435"/>
      <c r="G213" s="438"/>
      <c r="H213" s="734" t="s">
        <v>79</v>
      </c>
      <c r="I213" s="440">
        <f ca="1">I220</f>
        <v>0</v>
      </c>
      <c r="J213" s="440">
        <f>J220</f>
        <v>0</v>
      </c>
      <c r="K213" s="441">
        <f ca="1">IF(I213&gt;0,J213*100/I213,0)</f>
        <v>0</v>
      </c>
      <c r="L213" s="575"/>
      <c r="M213" s="575"/>
      <c r="N213" s="575"/>
      <c r="O213" s="575"/>
      <c r="P213" s="575"/>
    </row>
    <row r="214" spans="1:16" ht="19.5" hidden="1" x14ac:dyDescent="0.3">
      <c r="A214" s="706"/>
      <c r="B214" s="420"/>
      <c r="C214" s="740" t="s">
        <v>16</v>
      </c>
      <c r="D214" s="846" t="s">
        <v>17</v>
      </c>
      <c r="E214" s="420"/>
      <c r="F214" s="420"/>
      <c r="G214" s="424"/>
      <c r="H214" s="841" t="s">
        <v>12</v>
      </c>
      <c r="I214" s="701"/>
      <c r="J214" s="701"/>
      <c r="K214" s="700"/>
      <c r="L214" s="737">
        <f ca="1">L215+L216+L217</f>
        <v>0</v>
      </c>
      <c r="M214" s="430"/>
      <c r="N214" s="737">
        <f>N215+N216+N217</f>
        <v>0</v>
      </c>
      <c r="O214" s="737">
        <f ca="1">IF(L214&gt;0,N214*100/L214,0)</f>
        <v>0</v>
      </c>
      <c r="P214" s="737">
        <f>IF(M214&gt;0,N214*100/M214,0)</f>
        <v>0</v>
      </c>
    </row>
    <row r="215" spans="1:16" ht="18.75" hidden="1" x14ac:dyDescent="0.25">
      <c r="A215" s="706"/>
      <c r="B215" s="421"/>
      <c r="C215" s="420"/>
      <c r="D215" s="295" t="s">
        <v>80</v>
      </c>
      <c r="E215" s="420"/>
      <c r="F215" s="420"/>
      <c r="G215" s="424"/>
      <c r="H215" s="736" t="s">
        <v>12</v>
      </c>
      <c r="I215" s="701"/>
      <c r="J215" s="701"/>
      <c r="K215" s="700"/>
      <c r="L215" s="427">
        <f ca="1">IFERROR(__xludf.DUMMYFUNCTION("IMPORTRANGE(""https://docs.google.com/spreadsheets/d/1eHaY18a8A9IcSdp1K8H6x8fbOy06t2VsZHhMHf-1x7Y/edit?usp=sharing"",""แผน!AM73"")"),0)</f>
        <v>0</v>
      </c>
      <c r="M215" s="430"/>
      <c r="N215" s="840">
        <v>0</v>
      </c>
      <c r="O215" s="700"/>
      <c r="P215" s="430"/>
    </row>
    <row r="216" spans="1:16" ht="18.75" hidden="1" x14ac:dyDescent="0.25">
      <c r="A216" s="419"/>
      <c r="B216" s="421"/>
      <c r="C216" s="421"/>
      <c r="D216" s="295" t="s">
        <v>89</v>
      </c>
      <c r="E216" s="420"/>
      <c r="F216" s="420"/>
      <c r="G216" s="424"/>
      <c r="H216" s="736" t="s">
        <v>12</v>
      </c>
      <c r="I216" s="429"/>
      <c r="J216" s="429"/>
      <c r="K216" s="430"/>
      <c r="L216" s="427">
        <f ca="1">IFERROR(__xludf.DUMMYFUNCTION("IMPORTRANGE(""https://docs.google.com/spreadsheets/d/1eHaY18a8A9IcSdp1K8H6x8fbOy06t2VsZHhMHf-1x7Y/edit?usp=sharing"",""แผน!AN73"")"),0)</f>
        <v>0</v>
      </c>
      <c r="M216" s="430"/>
      <c r="N216" s="840">
        <v>0</v>
      </c>
      <c r="O216" s="700"/>
      <c r="P216" s="430"/>
    </row>
    <row r="217" spans="1:16" ht="18.75" hidden="1" x14ac:dyDescent="0.25">
      <c r="A217" s="419"/>
      <c r="B217" s="421"/>
      <c r="C217" s="421"/>
      <c r="D217" s="295" t="s">
        <v>82</v>
      </c>
      <c r="E217" s="420"/>
      <c r="F217" s="420"/>
      <c r="G217" s="424"/>
      <c r="H217" s="736" t="s">
        <v>12</v>
      </c>
      <c r="I217" s="429"/>
      <c r="J217" s="429"/>
      <c r="K217" s="430"/>
      <c r="L217" s="427">
        <f ca="1">IFERROR(__xludf.DUMMYFUNCTION("IMPORTRANGE(""https://docs.google.com/spreadsheets/d/1eHaY18a8A9IcSdp1K8H6x8fbOy06t2VsZHhMHf-1x7Y/edit?usp=sharing"",""แผน!AO73"")"),0)</f>
        <v>0</v>
      </c>
      <c r="M217" s="430"/>
      <c r="N217" s="840">
        <v>0</v>
      </c>
      <c r="O217" s="700"/>
      <c r="P217" s="430"/>
    </row>
    <row r="218" spans="1:16" ht="19.5" hidden="1" x14ac:dyDescent="0.3">
      <c r="A218" s="705"/>
      <c r="B218" s="432"/>
      <c r="C218" s="733" t="s">
        <v>16</v>
      </c>
      <c r="D218" s="759" t="s">
        <v>36</v>
      </c>
      <c r="E218" s="704"/>
      <c r="F218" s="704"/>
      <c r="G218" s="703"/>
      <c r="H218" s="702"/>
      <c r="I218" s="701"/>
      <c r="J218" s="429"/>
      <c r="K218" s="430"/>
      <c r="L218" s="430"/>
      <c r="M218" s="430"/>
      <c r="N218" s="430"/>
      <c r="O218" s="700"/>
      <c r="P218" s="700"/>
    </row>
    <row r="219" spans="1:16" ht="18.75" hidden="1" x14ac:dyDescent="0.25">
      <c r="A219" s="705"/>
      <c r="B219" s="432"/>
      <c r="C219" s="432"/>
      <c r="D219" s="728" t="s">
        <v>90</v>
      </c>
      <c r="E219" s="422"/>
      <c r="F219" s="422"/>
      <c r="G219" s="702"/>
      <c r="H219" s="844" t="s">
        <v>79</v>
      </c>
      <c r="I219" s="426">
        <f ca="1">IFERROR(__xludf.DUMMYFUNCTION("IMPORTRANGE(""https://docs.google.com/spreadsheets/d/1eHaY18a8A9IcSdp1K8H6x8fbOy06t2VsZHhMHf-1x7Y/edit?usp=sharing"",""แผน!AP73"")"),0)</f>
        <v>0</v>
      </c>
      <c r="J219" s="758">
        <v>0</v>
      </c>
      <c r="K219" s="427">
        <f ca="1">IF(I219&gt;0,J219*100/I219,0)</f>
        <v>0</v>
      </c>
      <c r="L219" s="430"/>
      <c r="M219" s="430"/>
      <c r="N219" s="430"/>
      <c r="O219" s="430"/>
      <c r="P219" s="430"/>
    </row>
    <row r="220" spans="1:16" ht="18.75" hidden="1" x14ac:dyDescent="0.25">
      <c r="A220" s="705"/>
      <c r="B220" s="432"/>
      <c r="C220" s="432"/>
      <c r="D220" s="728" t="s">
        <v>91</v>
      </c>
      <c r="E220" s="422"/>
      <c r="F220" s="422"/>
      <c r="G220" s="702"/>
      <c r="H220" s="844" t="s">
        <v>79</v>
      </c>
      <c r="I220" s="426">
        <f ca="1">IFERROR(__xludf.DUMMYFUNCTION("IMPORTRANGE(""https://docs.google.com/spreadsheets/d/1eHaY18a8A9IcSdp1K8H6x8fbOy06t2VsZHhMHf-1x7Y/edit?usp=sharing"",""แผน!AP73"")"),0)</f>
        <v>0</v>
      </c>
      <c r="J220" s="758">
        <v>0</v>
      </c>
      <c r="K220" s="427">
        <f ca="1">IF(I220&gt;0,J220*100/I220,0)</f>
        <v>0</v>
      </c>
      <c r="L220" s="430"/>
      <c r="M220" s="430"/>
      <c r="N220" s="430"/>
      <c r="O220" s="430"/>
      <c r="P220" s="430"/>
    </row>
    <row r="221" spans="1:16" ht="19.5" x14ac:dyDescent="0.3">
      <c r="A221" s="434"/>
      <c r="B221" s="436"/>
      <c r="C221" s="848" t="s">
        <v>92</v>
      </c>
      <c r="D221" s="435"/>
      <c r="E221" s="435"/>
      <c r="F221" s="435"/>
      <c r="G221" s="438"/>
      <c r="H221" s="439" t="s">
        <v>93</v>
      </c>
      <c r="I221" s="440">
        <f ca="1">I229</f>
        <v>5000</v>
      </c>
      <c r="J221" s="440">
        <f>J229</f>
        <v>0</v>
      </c>
      <c r="K221" s="441">
        <f ca="1">IF(I221&gt;0,J221*100/I221,0)</f>
        <v>0</v>
      </c>
      <c r="L221" s="575"/>
      <c r="M221" s="575"/>
      <c r="N221" s="575"/>
      <c r="O221" s="575"/>
      <c r="P221" s="575"/>
    </row>
    <row r="222" spans="1:16" ht="19.5" x14ac:dyDescent="0.3">
      <c r="A222" s="706"/>
      <c r="B222" s="420"/>
      <c r="C222" s="740" t="s">
        <v>16</v>
      </c>
      <c r="D222" s="846" t="s">
        <v>17</v>
      </c>
      <c r="E222" s="420"/>
      <c r="F222" s="420"/>
      <c r="G222" s="424"/>
      <c r="H222" s="841" t="s">
        <v>12</v>
      </c>
      <c r="I222" s="701"/>
      <c r="J222" s="701"/>
      <c r="K222" s="700"/>
      <c r="L222" s="737">
        <f ca="1">L223+L224+L225</f>
        <v>4500</v>
      </c>
      <c r="M222" s="430"/>
      <c r="N222" s="737">
        <f>N223+N224+N225</f>
        <v>0</v>
      </c>
      <c r="O222" s="737">
        <f ca="1">IF(L222&gt;0,N222*100/L222,0)</f>
        <v>0</v>
      </c>
      <c r="P222" s="737">
        <f>IF(M222&gt;0,N222*100/M222,0)</f>
        <v>0</v>
      </c>
    </row>
    <row r="223" spans="1:16" ht="18.75" x14ac:dyDescent="0.25">
      <c r="A223" s="706"/>
      <c r="B223" s="421"/>
      <c r="C223" s="420"/>
      <c r="D223" s="294" t="s">
        <v>155</v>
      </c>
      <c r="E223" s="420"/>
      <c r="F223" s="420"/>
      <c r="G223" s="424"/>
      <c r="H223" s="736" t="s">
        <v>12</v>
      </c>
      <c r="I223" s="701"/>
      <c r="J223" s="701"/>
      <c r="K223" s="700"/>
      <c r="L223" s="427">
        <f ca="1">IFERROR(__xludf.DUMMYFUNCTION("IMPORTRANGE(""https://docs.google.com/spreadsheets/d/1eHaY18a8A9IcSdp1K8H6x8fbOy06t2VsZHhMHf-1x7Y/edit?usp=sharing"",""แผน!AR73"")"),3000)</f>
        <v>3000</v>
      </c>
      <c r="M223" s="430"/>
      <c r="N223" s="840">
        <v>0</v>
      </c>
      <c r="O223" s="700"/>
      <c r="P223" s="430"/>
    </row>
    <row r="224" spans="1:16" ht="18.75" x14ac:dyDescent="0.25">
      <c r="A224" s="419"/>
      <c r="B224" s="421"/>
      <c r="C224" s="421"/>
      <c r="D224" s="295" t="s">
        <v>154</v>
      </c>
      <c r="E224" s="420"/>
      <c r="F224" s="420"/>
      <c r="G224" s="424"/>
      <c r="H224" s="736" t="s">
        <v>12</v>
      </c>
      <c r="I224" s="429"/>
      <c r="J224" s="429"/>
      <c r="K224" s="430"/>
      <c r="L224" s="427">
        <f ca="1">IFERROR(__xludf.DUMMYFUNCTION("IMPORTRANGE(""https://docs.google.com/spreadsheets/d/1eHaY18a8A9IcSdp1K8H6x8fbOy06t2VsZHhMHf-1x7Y/edit?usp=sharing"",""แผน!AS73"")"),1500)</f>
        <v>1500</v>
      </c>
      <c r="M224" s="430"/>
      <c r="N224" s="840">
        <v>0</v>
      </c>
      <c r="O224" s="700"/>
      <c r="P224" s="430"/>
    </row>
    <row r="225" spans="1:16" ht="18.75" x14ac:dyDescent="0.25">
      <c r="A225" s="419"/>
      <c r="B225" s="421"/>
      <c r="C225" s="421"/>
      <c r="D225" s="295" t="s">
        <v>82</v>
      </c>
      <c r="E225" s="420"/>
      <c r="F225" s="420"/>
      <c r="G225" s="424"/>
      <c r="H225" s="736" t="s">
        <v>12</v>
      </c>
      <c r="I225" s="429"/>
      <c r="J225" s="429"/>
      <c r="K225" s="430"/>
      <c r="L225" s="427">
        <f ca="1">IFERROR(__xludf.DUMMYFUNCTION("IMPORTRANGE(""https://docs.google.com/spreadsheets/d/1eHaY18a8A9IcSdp1K8H6x8fbOy06t2VsZHhMHf-1x7Y/edit?usp=sharing"",""แผน!AT73"")"),0)</f>
        <v>0</v>
      </c>
      <c r="M225" s="430"/>
      <c r="N225" s="840">
        <v>0</v>
      </c>
      <c r="O225" s="700"/>
      <c r="P225" s="430"/>
    </row>
    <row r="226" spans="1:16" ht="19.5" x14ac:dyDescent="0.3">
      <c r="A226" s="705"/>
      <c r="B226" s="432"/>
      <c r="C226" s="733" t="s">
        <v>16</v>
      </c>
      <c r="D226" s="759" t="s">
        <v>36</v>
      </c>
      <c r="E226" s="704"/>
      <c r="F226" s="704"/>
      <c r="G226" s="703"/>
      <c r="H226" s="702"/>
      <c r="I226" s="701"/>
      <c r="J226" s="701"/>
      <c r="K226" s="700"/>
      <c r="L226" s="700"/>
      <c r="M226" s="700"/>
      <c r="N226" s="700"/>
      <c r="O226" s="700"/>
      <c r="P226" s="700"/>
    </row>
    <row r="227" spans="1:16" ht="18.75" x14ac:dyDescent="0.25">
      <c r="A227" s="705"/>
      <c r="B227" s="432"/>
      <c r="C227" s="432"/>
      <c r="D227" s="295" t="s">
        <v>95</v>
      </c>
      <c r="E227" s="422"/>
      <c r="F227" s="422"/>
      <c r="G227" s="702"/>
      <c r="H227" s="702"/>
      <c r="I227" s="429"/>
      <c r="J227" s="429"/>
      <c r="K227" s="700"/>
      <c r="L227" s="700"/>
      <c r="M227" s="700"/>
      <c r="N227" s="700"/>
      <c r="O227" s="700"/>
      <c r="P227" s="700"/>
    </row>
    <row r="228" spans="1:16" ht="18.75" x14ac:dyDescent="0.25">
      <c r="A228" s="705"/>
      <c r="B228" s="432"/>
      <c r="C228" s="432"/>
      <c r="D228" s="432"/>
      <c r="E228" s="728" t="s">
        <v>96</v>
      </c>
      <c r="F228" s="422"/>
      <c r="G228" s="702"/>
      <c r="H228" s="791" t="s">
        <v>93</v>
      </c>
      <c r="I228" s="426">
        <f ca="1">IFERROR(__xludf.DUMMYFUNCTION("IMPORTRANGE(""https://docs.google.com/spreadsheets/d/1eHaY18a8A9IcSdp1K8H6x8fbOy06t2VsZHhMHf-1x7Y/edit?usp=sharing"",""แผน!AV73"")"),5000)</f>
        <v>5000</v>
      </c>
      <c r="J228" s="758">
        <v>5000</v>
      </c>
      <c r="K228" s="789">
        <f ca="1">IF(I228&gt;0,J228*100/I228,0)</f>
        <v>100</v>
      </c>
      <c r="L228" s="700"/>
      <c r="M228" s="700"/>
      <c r="N228" s="700"/>
      <c r="O228" s="700"/>
      <c r="P228" s="700"/>
    </row>
    <row r="229" spans="1:16" ht="18.75" x14ac:dyDescent="0.25">
      <c r="A229" s="705"/>
      <c r="B229" s="432"/>
      <c r="C229" s="432"/>
      <c r="D229" s="432"/>
      <c r="E229" s="728" t="s">
        <v>97</v>
      </c>
      <c r="F229" s="422"/>
      <c r="G229" s="702"/>
      <c r="H229" s="791" t="s">
        <v>93</v>
      </c>
      <c r="I229" s="426">
        <f ca="1">IFERROR(__xludf.DUMMYFUNCTION("IMPORTRANGE(""https://docs.google.com/spreadsheets/d/1eHaY18a8A9IcSdp1K8H6x8fbOy06t2VsZHhMHf-1x7Y/edit?usp=sharing"",""แผน!AV73"")"),5000)</f>
        <v>5000</v>
      </c>
      <c r="J229" s="758">
        <v>0</v>
      </c>
      <c r="K229" s="789">
        <f ca="1">IF(I229&gt;0,J229*100/I229,0)</f>
        <v>0</v>
      </c>
      <c r="L229" s="430"/>
      <c r="M229" s="430"/>
      <c r="N229" s="430"/>
      <c r="O229" s="430"/>
      <c r="P229" s="430"/>
    </row>
    <row r="230" spans="1:16" ht="18.75" x14ac:dyDescent="0.25">
      <c r="A230" s="705"/>
      <c r="B230" s="432"/>
      <c r="C230" s="432"/>
      <c r="D230" s="295" t="s">
        <v>98</v>
      </c>
      <c r="E230" s="422"/>
      <c r="F230" s="422"/>
      <c r="G230" s="702"/>
      <c r="H230" s="791" t="s">
        <v>33</v>
      </c>
      <c r="I230" s="426">
        <f ca="1">IFERROR(__xludf.DUMMYFUNCTION("IMPORTRANGE(""https://docs.google.com/spreadsheets/d/1eHaY18a8A9IcSdp1K8H6x8fbOy06t2VsZHhMHf-1x7Y/edit?usp=sharing"",""แผน!AU73"")"),0)</f>
        <v>0</v>
      </c>
      <c r="J230" s="758">
        <v>0</v>
      </c>
      <c r="K230" s="789">
        <f ca="1">IF(I230&gt;0,J230*100/I230,0)</f>
        <v>0</v>
      </c>
      <c r="L230" s="430"/>
      <c r="M230" s="430"/>
      <c r="N230" s="430"/>
      <c r="O230" s="430"/>
      <c r="P230" s="430"/>
    </row>
    <row r="231" spans="1:16" ht="19.5" hidden="1" x14ac:dyDescent="0.3">
      <c r="A231" s="434"/>
      <c r="B231" s="436"/>
      <c r="C231" s="848" t="s">
        <v>99</v>
      </c>
      <c r="D231" s="435"/>
      <c r="E231" s="435"/>
      <c r="F231" s="435"/>
      <c r="G231" s="438"/>
      <c r="H231" s="439" t="s">
        <v>33</v>
      </c>
      <c r="I231" s="440">
        <f ca="1">I242+I253</f>
        <v>0</v>
      </c>
      <c r="J231" s="440">
        <f>J242+J253</f>
        <v>0</v>
      </c>
      <c r="K231" s="441">
        <f ca="1">IF(I231&gt;0,J231*100/I231,0)</f>
        <v>0</v>
      </c>
      <c r="L231" s="575"/>
      <c r="M231" s="575"/>
      <c r="N231" s="575"/>
      <c r="O231" s="575"/>
      <c r="P231" s="575"/>
    </row>
    <row r="232" spans="1:16" ht="19.5" hidden="1" x14ac:dyDescent="0.3">
      <c r="A232" s="706"/>
      <c r="B232" s="420"/>
      <c r="C232" s="740" t="s">
        <v>16</v>
      </c>
      <c r="D232" s="739" t="s">
        <v>17</v>
      </c>
      <c r="E232" s="420"/>
      <c r="F232" s="420"/>
      <c r="G232" s="424"/>
      <c r="H232" s="841" t="s">
        <v>12</v>
      </c>
      <c r="I232" s="701"/>
      <c r="J232" s="701"/>
      <c r="K232" s="700"/>
      <c r="L232" s="737">
        <f ca="1">L243+L254</f>
        <v>0</v>
      </c>
      <c r="M232" s="430"/>
      <c r="N232" s="737">
        <f>N243+N254</f>
        <v>0</v>
      </c>
      <c r="O232" s="430"/>
      <c r="P232" s="430"/>
    </row>
    <row r="233" spans="1:16" ht="18.75" hidden="1" x14ac:dyDescent="0.25">
      <c r="A233" s="706"/>
      <c r="B233" s="421"/>
      <c r="C233" s="420"/>
      <c r="D233" s="295" t="s">
        <v>80</v>
      </c>
      <c r="E233" s="420"/>
      <c r="F233" s="420"/>
      <c r="G233" s="424"/>
      <c r="H233" s="736" t="s">
        <v>12</v>
      </c>
      <c r="I233" s="701"/>
      <c r="J233" s="701"/>
      <c r="K233" s="700"/>
      <c r="L233" s="427">
        <f ca="1">L244+L255</f>
        <v>0</v>
      </c>
      <c r="M233" s="430"/>
      <c r="N233" s="427">
        <f>N244+N255</f>
        <v>0</v>
      </c>
      <c r="O233" s="430"/>
      <c r="P233" s="430"/>
    </row>
    <row r="234" spans="1:16" ht="18.75" hidden="1" x14ac:dyDescent="0.25">
      <c r="A234" s="419"/>
      <c r="B234" s="421"/>
      <c r="C234" s="421"/>
      <c r="D234" s="295" t="s">
        <v>82</v>
      </c>
      <c r="E234" s="420"/>
      <c r="F234" s="420"/>
      <c r="G234" s="424"/>
      <c r="H234" s="736" t="s">
        <v>12</v>
      </c>
      <c r="I234" s="429"/>
      <c r="J234" s="429"/>
      <c r="K234" s="430"/>
      <c r="L234" s="427">
        <f ca="1">L245+L256</f>
        <v>0</v>
      </c>
      <c r="M234" s="430"/>
      <c r="N234" s="427">
        <f>N245+N256</f>
        <v>0</v>
      </c>
      <c r="O234" s="430"/>
      <c r="P234" s="430"/>
    </row>
    <row r="235" spans="1:16" ht="18.75" hidden="1" x14ac:dyDescent="0.25">
      <c r="A235" s="419"/>
      <c r="B235" s="421"/>
      <c r="C235" s="421"/>
      <c r="D235" s="295" t="s">
        <v>100</v>
      </c>
      <c r="E235" s="420"/>
      <c r="F235" s="420"/>
      <c r="G235" s="424"/>
      <c r="H235" s="736" t="s">
        <v>12</v>
      </c>
      <c r="I235" s="429"/>
      <c r="J235" s="429"/>
      <c r="K235" s="430"/>
      <c r="L235" s="427">
        <f ca="1">L246+L257</f>
        <v>0</v>
      </c>
      <c r="M235" s="430"/>
      <c r="N235" s="427">
        <f>N246+N257</f>
        <v>0</v>
      </c>
      <c r="O235" s="430"/>
      <c r="P235" s="430"/>
    </row>
    <row r="236" spans="1:16" ht="18.75" hidden="1" x14ac:dyDescent="0.25">
      <c r="A236" s="419"/>
      <c r="B236" s="421"/>
      <c r="C236" s="421"/>
      <c r="D236" s="295" t="s">
        <v>101</v>
      </c>
      <c r="E236" s="420"/>
      <c r="F236" s="420"/>
      <c r="G236" s="424"/>
      <c r="H236" s="736" t="s">
        <v>12</v>
      </c>
      <c r="I236" s="429"/>
      <c r="J236" s="429"/>
      <c r="K236" s="430"/>
      <c r="L236" s="427">
        <f ca="1">L247+L258</f>
        <v>0</v>
      </c>
      <c r="M236" s="430"/>
      <c r="N236" s="427">
        <f>N247+N258</f>
        <v>0</v>
      </c>
      <c r="O236" s="430"/>
      <c r="P236" s="430"/>
    </row>
    <row r="237" spans="1:16" ht="19.5" hidden="1" x14ac:dyDescent="0.3">
      <c r="A237" s="705"/>
      <c r="B237" s="432"/>
      <c r="C237" s="733" t="s">
        <v>16</v>
      </c>
      <c r="D237" s="759" t="s">
        <v>36</v>
      </c>
      <c r="E237" s="704"/>
      <c r="F237" s="704"/>
      <c r="G237" s="703"/>
      <c r="H237" s="702"/>
      <c r="I237" s="701"/>
      <c r="J237" s="429"/>
      <c r="K237" s="430"/>
      <c r="L237" s="430"/>
      <c r="M237" s="430"/>
      <c r="N237" s="430"/>
      <c r="O237" s="700"/>
      <c r="P237" s="700"/>
    </row>
    <row r="238" spans="1:16" ht="18.75" hidden="1" x14ac:dyDescent="0.25">
      <c r="A238" s="705"/>
      <c r="B238" s="432"/>
      <c r="C238" s="432"/>
      <c r="D238" s="423" t="s">
        <v>102</v>
      </c>
      <c r="E238" s="422"/>
      <c r="F238" s="422"/>
      <c r="G238" s="702"/>
      <c r="H238" s="791" t="s">
        <v>33</v>
      </c>
      <c r="I238" s="426">
        <f ca="1">I249+I260</f>
        <v>0</v>
      </c>
      <c r="J238" s="426">
        <f>J249+J260</f>
        <v>0</v>
      </c>
      <c r="K238" s="427">
        <f ca="1">IF(I238&gt;0,J238*100/I238,0)</f>
        <v>0</v>
      </c>
      <c r="L238" s="430"/>
      <c r="M238" s="430"/>
      <c r="N238" s="430"/>
      <c r="O238" s="430"/>
      <c r="P238" s="430"/>
    </row>
    <row r="239" spans="1:16" ht="18.75" hidden="1" x14ac:dyDescent="0.25">
      <c r="A239" s="705"/>
      <c r="B239" s="432"/>
      <c r="C239" s="432"/>
      <c r="D239" s="731" t="s">
        <v>41</v>
      </c>
      <c r="E239" s="422"/>
      <c r="F239" s="422"/>
      <c r="G239" s="702"/>
      <c r="H239" s="702"/>
      <c r="I239" s="429"/>
      <c r="J239" s="429"/>
      <c r="K239" s="430"/>
      <c r="L239" s="430"/>
      <c r="M239" s="430"/>
      <c r="N239" s="430"/>
      <c r="O239" s="700"/>
      <c r="P239" s="700"/>
    </row>
    <row r="240" spans="1:16" ht="18.75" hidden="1" x14ac:dyDescent="0.25">
      <c r="A240" s="705"/>
      <c r="B240" s="432"/>
      <c r="C240" s="432"/>
      <c r="D240" s="432"/>
      <c r="E240" s="728" t="s">
        <v>103</v>
      </c>
      <c r="F240" s="422"/>
      <c r="G240" s="702"/>
      <c r="H240" s="791" t="s">
        <v>33</v>
      </c>
      <c r="I240" s="426">
        <f>I251+I262</f>
        <v>0</v>
      </c>
      <c r="J240" s="426">
        <f>J251+J262</f>
        <v>0</v>
      </c>
      <c r="K240" s="427">
        <f>IF(I240&gt;0,J240*100/I240,0)</f>
        <v>0</v>
      </c>
      <c r="L240" s="430"/>
      <c r="M240" s="430"/>
      <c r="N240" s="430"/>
      <c r="O240" s="430"/>
      <c r="P240" s="430"/>
    </row>
    <row r="241" spans="1:16" ht="18.75" hidden="1" x14ac:dyDescent="0.25">
      <c r="A241" s="705"/>
      <c r="B241" s="432"/>
      <c r="C241" s="432"/>
      <c r="D241" s="432"/>
      <c r="E241" s="728" t="s">
        <v>104</v>
      </c>
      <c r="F241" s="422"/>
      <c r="G241" s="702"/>
      <c r="H241" s="791" t="s">
        <v>54</v>
      </c>
      <c r="I241" s="426">
        <f>I252+I263</f>
        <v>0</v>
      </c>
      <c r="J241" s="426">
        <f>J252+J263</f>
        <v>0</v>
      </c>
      <c r="K241" s="427">
        <f>IF(I241&gt;0,J241*100/I241,0)</f>
        <v>0</v>
      </c>
      <c r="L241" s="430"/>
      <c r="M241" s="430"/>
      <c r="N241" s="430"/>
      <c r="O241" s="430"/>
      <c r="P241" s="430"/>
    </row>
    <row r="242" spans="1:16" ht="19.5" hidden="1" x14ac:dyDescent="0.3">
      <c r="A242" s="434"/>
      <c r="B242" s="436"/>
      <c r="C242" s="617" t="s">
        <v>105</v>
      </c>
      <c r="D242" s="435"/>
      <c r="E242" s="435"/>
      <c r="F242" s="435"/>
      <c r="G242" s="438"/>
      <c r="H242" s="614" t="s">
        <v>33</v>
      </c>
      <c r="I242" s="613">
        <f ca="1">I249</f>
        <v>0</v>
      </c>
      <c r="J242" s="613">
        <f>J249</f>
        <v>0</v>
      </c>
      <c r="K242" s="612">
        <f ca="1">IF(I242&gt;0,J242*100/I242,0)</f>
        <v>0</v>
      </c>
      <c r="L242" s="575"/>
      <c r="M242" s="575"/>
      <c r="N242" s="575"/>
      <c r="O242" s="575"/>
      <c r="P242" s="575"/>
    </row>
    <row r="243" spans="1:16" ht="19.5" hidden="1" x14ac:dyDescent="0.3">
      <c r="A243" s="706"/>
      <c r="B243" s="420"/>
      <c r="C243" s="537" t="s">
        <v>16</v>
      </c>
      <c r="D243" s="547" t="s">
        <v>17</v>
      </c>
      <c r="E243" s="420"/>
      <c r="F243" s="420"/>
      <c r="G243" s="424"/>
      <c r="H243" s="609" t="s">
        <v>12</v>
      </c>
      <c r="I243" s="701"/>
      <c r="J243" s="701"/>
      <c r="K243" s="700"/>
      <c r="L243" s="545">
        <f ca="1">L244+L245+L246+L247</f>
        <v>0</v>
      </c>
      <c r="M243" s="430"/>
      <c r="N243" s="545">
        <f>N244+N245+N246+N247</f>
        <v>0</v>
      </c>
      <c r="O243" s="545">
        <f ca="1">IF(L243&gt;0,N243*100/L243,0)</f>
        <v>0</v>
      </c>
      <c r="P243" s="545">
        <f>IF(M243&gt;0,N243*100/M243,0)</f>
        <v>0</v>
      </c>
    </row>
    <row r="244" spans="1:16" ht="18.75" hidden="1" x14ac:dyDescent="0.25">
      <c r="A244" s="706"/>
      <c r="B244" s="421"/>
      <c r="C244" s="420"/>
      <c r="D244" s="540" t="s">
        <v>80</v>
      </c>
      <c r="E244" s="420"/>
      <c r="F244" s="420"/>
      <c r="G244" s="424"/>
      <c r="H244" s="542" t="s">
        <v>12</v>
      </c>
      <c r="I244" s="701"/>
      <c r="J244" s="701"/>
      <c r="K244" s="700"/>
      <c r="L244" s="522">
        <f ca="1">IFERROR(__xludf.DUMMYFUNCTION("IMPORTRANGE(""https://docs.google.com/spreadsheets/d/1eHaY18a8A9IcSdp1K8H6x8fbOy06t2VsZHhMHf-1x7Y/edit?usp=sharing"",""แผน!AX73"")"),0)</f>
        <v>0</v>
      </c>
      <c r="M244" s="430"/>
      <c r="N244" s="608">
        <v>0</v>
      </c>
      <c r="O244" s="430"/>
      <c r="P244" s="430"/>
    </row>
    <row r="245" spans="1:16" ht="18.75" hidden="1" x14ac:dyDescent="0.25">
      <c r="A245" s="419"/>
      <c r="B245" s="421"/>
      <c r="C245" s="421"/>
      <c r="D245" s="540" t="s">
        <v>82</v>
      </c>
      <c r="E245" s="420"/>
      <c r="F245" s="420"/>
      <c r="G245" s="424"/>
      <c r="H245" s="542" t="s">
        <v>12</v>
      </c>
      <c r="I245" s="429"/>
      <c r="J245" s="429"/>
      <c r="K245" s="430"/>
      <c r="L245" s="522">
        <f ca="1">IFERROR(__xludf.DUMMYFUNCTION("IMPORTRANGE(""https://docs.google.com/spreadsheets/d/1eHaY18a8A9IcSdp1K8H6x8fbOy06t2VsZHhMHf-1x7Y/edit?usp=sharing"",""แผน!AY73"")"),0)</f>
        <v>0</v>
      </c>
      <c r="M245" s="430"/>
      <c r="N245" s="608">
        <v>0</v>
      </c>
      <c r="O245" s="430"/>
      <c r="P245" s="430"/>
    </row>
    <row r="246" spans="1:16" ht="18.75" hidden="1" x14ac:dyDescent="0.25">
      <c r="A246" s="419"/>
      <c r="B246" s="421"/>
      <c r="C246" s="421"/>
      <c r="D246" s="540" t="s">
        <v>100</v>
      </c>
      <c r="E246" s="420"/>
      <c r="F246" s="420"/>
      <c r="G246" s="424"/>
      <c r="H246" s="542" t="s">
        <v>12</v>
      </c>
      <c r="I246" s="429"/>
      <c r="J246" s="429"/>
      <c r="K246" s="430"/>
      <c r="L246" s="522">
        <f ca="1">IFERROR(__xludf.DUMMYFUNCTION("IMPORTRANGE(""https://docs.google.com/spreadsheets/d/1eHaY18a8A9IcSdp1K8H6x8fbOy06t2VsZHhMHf-1x7Y/edit?usp=sharing"",""แผน!AZ73"")"),0)</f>
        <v>0</v>
      </c>
      <c r="M246" s="430"/>
      <c r="N246" s="608">
        <v>0</v>
      </c>
      <c r="O246" s="430"/>
      <c r="P246" s="430"/>
    </row>
    <row r="247" spans="1:16" ht="18.75" hidden="1" x14ac:dyDescent="0.25">
      <c r="A247" s="419"/>
      <c r="B247" s="421"/>
      <c r="C247" s="421"/>
      <c r="D247" s="540" t="s">
        <v>101</v>
      </c>
      <c r="E247" s="420"/>
      <c r="F247" s="420"/>
      <c r="G247" s="424"/>
      <c r="H247" s="542" t="s">
        <v>12</v>
      </c>
      <c r="I247" s="429"/>
      <c r="J247" s="429"/>
      <c r="K247" s="430"/>
      <c r="L247" s="522">
        <f ca="1">IFERROR(__xludf.DUMMYFUNCTION("IMPORTRANGE(""https://docs.google.com/spreadsheets/d/1eHaY18a8A9IcSdp1K8H6x8fbOy06t2VsZHhMHf-1x7Y/edit?usp=sharing"",""แผน!BA73"")"),0)</f>
        <v>0</v>
      </c>
      <c r="M247" s="430"/>
      <c r="N247" s="608">
        <v>0</v>
      </c>
      <c r="O247" s="430"/>
      <c r="P247" s="430"/>
    </row>
    <row r="248" spans="1:16" ht="19.5" hidden="1" x14ac:dyDescent="0.3">
      <c r="A248" s="705"/>
      <c r="B248" s="432"/>
      <c r="C248" s="607" t="s">
        <v>16</v>
      </c>
      <c r="D248" s="536" t="s">
        <v>36</v>
      </c>
      <c r="E248" s="704"/>
      <c r="F248" s="704"/>
      <c r="G248" s="703"/>
      <c r="H248" s="702"/>
      <c r="I248" s="701"/>
      <c r="J248" s="429"/>
      <c r="K248" s="430"/>
      <c r="L248" s="430"/>
      <c r="M248" s="430"/>
      <c r="N248" s="430"/>
      <c r="O248" s="700"/>
      <c r="P248" s="700"/>
    </row>
    <row r="249" spans="1:16" ht="18.75" hidden="1" x14ac:dyDescent="0.25">
      <c r="A249" s="705"/>
      <c r="B249" s="432"/>
      <c r="C249" s="432"/>
      <c r="D249" s="528" t="s">
        <v>102</v>
      </c>
      <c r="E249" s="422"/>
      <c r="F249" s="422"/>
      <c r="G249" s="702"/>
      <c r="H249" s="603" t="s">
        <v>33</v>
      </c>
      <c r="I249" s="201">
        <f ca="1">IFERROR(__xludf.DUMMYFUNCTION("IMPORTRANGE(""https://docs.google.com/spreadsheets/d/1eHaY18a8A9IcSdp1K8H6x8fbOy06t2VsZHhMHf-1x7Y/edit?usp=sharing"",""แผน!BG73"")"),0)</f>
        <v>0</v>
      </c>
      <c r="J249" s="523">
        <v>0</v>
      </c>
      <c r="K249" s="522">
        <f ca="1">IF(I249&gt;0,J249*100/I249,0)</f>
        <v>0</v>
      </c>
      <c r="L249" s="430"/>
      <c r="M249" s="430"/>
      <c r="N249" s="430"/>
      <c r="O249" s="430"/>
      <c r="P249" s="430"/>
    </row>
    <row r="250" spans="1:16" ht="18.75" hidden="1" x14ac:dyDescent="0.25">
      <c r="A250" s="705"/>
      <c r="B250" s="432"/>
      <c r="C250" s="432"/>
      <c r="D250" s="606" t="s">
        <v>41</v>
      </c>
      <c r="E250" s="422"/>
      <c r="F250" s="422"/>
      <c r="G250" s="702"/>
      <c r="H250" s="702"/>
      <c r="I250" s="429"/>
      <c r="J250" s="429"/>
      <c r="K250" s="430"/>
      <c r="L250" s="430"/>
      <c r="M250" s="430"/>
      <c r="N250" s="430"/>
      <c r="O250" s="700"/>
      <c r="P250" s="700"/>
    </row>
    <row r="251" spans="1:16" ht="18.75" hidden="1" x14ac:dyDescent="0.25">
      <c r="A251" s="705"/>
      <c r="B251" s="432"/>
      <c r="C251" s="432"/>
      <c r="D251" s="432"/>
      <c r="E251" s="605" t="s">
        <v>103</v>
      </c>
      <c r="F251" s="422"/>
      <c r="G251" s="702"/>
      <c r="H251" s="603" t="s">
        <v>33</v>
      </c>
      <c r="I251" s="201">
        <v>0</v>
      </c>
      <c r="J251" s="523">
        <v>0</v>
      </c>
      <c r="K251" s="522">
        <f>IF(I251&gt;0,J251*100/I251,0)</f>
        <v>0</v>
      </c>
      <c r="L251" s="430"/>
      <c r="M251" s="430"/>
      <c r="N251" s="430"/>
      <c r="O251" s="430"/>
      <c r="P251" s="430"/>
    </row>
    <row r="252" spans="1:16" ht="18.75" hidden="1" x14ac:dyDescent="0.25">
      <c r="A252" s="705"/>
      <c r="B252" s="432"/>
      <c r="C252" s="432"/>
      <c r="D252" s="432"/>
      <c r="E252" s="605" t="s">
        <v>104</v>
      </c>
      <c r="F252" s="422"/>
      <c r="G252" s="702"/>
      <c r="H252" s="603" t="s">
        <v>54</v>
      </c>
      <c r="I252" s="201">
        <v>0</v>
      </c>
      <c r="J252" s="523">
        <v>0</v>
      </c>
      <c r="K252" s="522">
        <f>IF(I252&gt;0,J252*100/I252,0)</f>
        <v>0</v>
      </c>
      <c r="L252" s="430"/>
      <c r="M252" s="430"/>
      <c r="N252" s="430"/>
      <c r="O252" s="430"/>
      <c r="P252" s="430"/>
    </row>
    <row r="253" spans="1:16" ht="19.5" hidden="1" x14ac:dyDescent="0.3">
      <c r="A253" s="434"/>
      <c r="B253" s="436"/>
      <c r="C253" s="617" t="s">
        <v>106</v>
      </c>
      <c r="D253" s="435"/>
      <c r="E253" s="435"/>
      <c r="F253" s="435"/>
      <c r="G253" s="438"/>
      <c r="H253" s="614" t="s">
        <v>33</v>
      </c>
      <c r="I253" s="613">
        <f ca="1">I260</f>
        <v>0</v>
      </c>
      <c r="J253" s="613">
        <f>J260</f>
        <v>0</v>
      </c>
      <c r="K253" s="612">
        <f ca="1">IF(I253&gt;0,J253*100/I253,0)</f>
        <v>0</v>
      </c>
      <c r="L253" s="575"/>
      <c r="M253" s="575"/>
      <c r="N253" s="575"/>
      <c r="O253" s="575"/>
      <c r="P253" s="575"/>
    </row>
    <row r="254" spans="1:16" ht="19.5" hidden="1" x14ac:dyDescent="0.3">
      <c r="A254" s="706"/>
      <c r="B254" s="420"/>
      <c r="C254" s="537" t="s">
        <v>16</v>
      </c>
      <c r="D254" s="610" t="s">
        <v>17</v>
      </c>
      <c r="E254" s="420"/>
      <c r="F254" s="420"/>
      <c r="G254" s="424"/>
      <c r="H254" s="609" t="s">
        <v>12</v>
      </c>
      <c r="I254" s="701"/>
      <c r="J254" s="701"/>
      <c r="K254" s="700"/>
      <c r="L254" s="545">
        <f ca="1">L255+L256+L257+L258</f>
        <v>0</v>
      </c>
      <c r="M254" s="430"/>
      <c r="N254" s="545">
        <f>N255+N256+N257+N258</f>
        <v>0</v>
      </c>
      <c r="O254" s="545">
        <f ca="1">IF(L254&gt;0,N254*100/L254,0)</f>
        <v>0</v>
      </c>
      <c r="P254" s="545">
        <f>IF(M254&gt;0,N254*100/M254,0)</f>
        <v>0</v>
      </c>
    </row>
    <row r="255" spans="1:16" ht="18.75" hidden="1" x14ac:dyDescent="0.25">
      <c r="A255" s="706"/>
      <c r="B255" s="421"/>
      <c r="C255" s="420"/>
      <c r="D255" s="540" t="s">
        <v>80</v>
      </c>
      <c r="E255" s="420"/>
      <c r="F255" s="420"/>
      <c r="G255" s="424"/>
      <c r="H255" s="542" t="s">
        <v>12</v>
      </c>
      <c r="I255" s="701"/>
      <c r="J255" s="701"/>
      <c r="K255" s="700"/>
      <c r="L255" s="522">
        <f ca="1">IFERROR(__xludf.DUMMYFUNCTION("IMPORTRANGE(""https://docs.google.com/spreadsheets/d/1eHaY18a8A9IcSdp1K8H6x8fbOy06t2VsZHhMHf-1x7Y/edit?usp=sharing"",""แผน!BB73"")"),0)</f>
        <v>0</v>
      </c>
      <c r="M255" s="430"/>
      <c r="N255" s="608">
        <v>0</v>
      </c>
      <c r="O255" s="430"/>
      <c r="P255" s="430"/>
    </row>
    <row r="256" spans="1:16" ht="18.75" hidden="1" x14ac:dyDescent="0.25">
      <c r="A256" s="419"/>
      <c r="B256" s="421"/>
      <c r="C256" s="421"/>
      <c r="D256" s="540" t="s">
        <v>82</v>
      </c>
      <c r="E256" s="420"/>
      <c r="F256" s="420"/>
      <c r="G256" s="424"/>
      <c r="H256" s="542" t="s">
        <v>12</v>
      </c>
      <c r="I256" s="429"/>
      <c r="J256" s="429"/>
      <c r="K256" s="430"/>
      <c r="L256" s="522">
        <f ca="1">IFERROR(__xludf.DUMMYFUNCTION("IMPORTRANGE(""https://docs.google.com/spreadsheets/d/1eHaY18a8A9IcSdp1K8H6x8fbOy06t2VsZHhMHf-1x7Y/edit?usp=sharing"",""แผน!BC73"")"),0)</f>
        <v>0</v>
      </c>
      <c r="M256" s="430"/>
      <c r="N256" s="608">
        <v>0</v>
      </c>
      <c r="O256" s="430"/>
      <c r="P256" s="430"/>
    </row>
    <row r="257" spans="1:16" ht="18.75" hidden="1" x14ac:dyDescent="0.25">
      <c r="A257" s="419"/>
      <c r="B257" s="421"/>
      <c r="C257" s="421"/>
      <c r="D257" s="540" t="s">
        <v>100</v>
      </c>
      <c r="E257" s="420"/>
      <c r="F257" s="420"/>
      <c r="G257" s="424"/>
      <c r="H257" s="542" t="s">
        <v>12</v>
      </c>
      <c r="I257" s="429"/>
      <c r="J257" s="429"/>
      <c r="K257" s="430"/>
      <c r="L257" s="522">
        <f ca="1">IFERROR(__xludf.DUMMYFUNCTION("IMPORTRANGE(""https://docs.google.com/spreadsheets/d/1eHaY18a8A9IcSdp1K8H6x8fbOy06t2VsZHhMHf-1x7Y/edit?usp=sharing"",""แผน!BD73"")"),0)</f>
        <v>0</v>
      </c>
      <c r="M257" s="430"/>
      <c r="N257" s="608">
        <v>0</v>
      </c>
      <c r="O257" s="430"/>
      <c r="P257" s="430"/>
    </row>
    <row r="258" spans="1:16" ht="18.75" hidden="1" x14ac:dyDescent="0.25">
      <c r="A258" s="419"/>
      <c r="B258" s="421"/>
      <c r="C258" s="421"/>
      <c r="D258" s="540" t="s">
        <v>101</v>
      </c>
      <c r="E258" s="420"/>
      <c r="F258" s="420"/>
      <c r="G258" s="424"/>
      <c r="H258" s="542" t="s">
        <v>12</v>
      </c>
      <c r="I258" s="429"/>
      <c r="J258" s="429"/>
      <c r="K258" s="430"/>
      <c r="L258" s="522">
        <f ca="1">IFERROR(__xludf.DUMMYFUNCTION("IMPORTRANGE(""https://docs.google.com/spreadsheets/d/1eHaY18a8A9IcSdp1K8H6x8fbOy06t2VsZHhMHf-1x7Y/edit?usp=sharing"",""แผน!BE73"")"),0)</f>
        <v>0</v>
      </c>
      <c r="M258" s="430"/>
      <c r="N258" s="608">
        <v>0</v>
      </c>
      <c r="O258" s="430"/>
      <c r="P258" s="430"/>
    </row>
    <row r="259" spans="1:16" ht="19.5" hidden="1" x14ac:dyDescent="0.3">
      <c r="A259" s="705"/>
      <c r="B259" s="432"/>
      <c r="C259" s="607" t="s">
        <v>16</v>
      </c>
      <c r="D259" s="536" t="s">
        <v>36</v>
      </c>
      <c r="E259" s="704"/>
      <c r="F259" s="704"/>
      <c r="G259" s="703"/>
      <c r="H259" s="702"/>
      <c r="I259" s="701"/>
      <c r="J259" s="429"/>
      <c r="K259" s="430"/>
      <c r="L259" s="430"/>
      <c r="M259" s="430"/>
      <c r="N259" s="430"/>
      <c r="O259" s="700"/>
      <c r="P259" s="700"/>
    </row>
    <row r="260" spans="1:16" ht="18.75" hidden="1" x14ac:dyDescent="0.25">
      <c r="A260" s="705"/>
      <c r="B260" s="432"/>
      <c r="C260" s="432"/>
      <c r="D260" s="528" t="s">
        <v>102</v>
      </c>
      <c r="E260" s="422"/>
      <c r="F260" s="422"/>
      <c r="G260" s="702"/>
      <c r="H260" s="603" t="s">
        <v>33</v>
      </c>
      <c r="I260" s="201">
        <f ca="1">IFERROR(__xludf.DUMMYFUNCTION("IMPORTRANGE(""https://docs.google.com/spreadsheets/d/1eHaY18a8A9IcSdp1K8H6x8fbOy06t2VsZHhMHf-1x7Y/edit?usp=sharing"",""แผน!BH73"")"),0)</f>
        <v>0</v>
      </c>
      <c r="J260" s="523">
        <v>0</v>
      </c>
      <c r="K260" s="522">
        <f ca="1">IF(I260&gt;0,J260*100/I260,0)</f>
        <v>0</v>
      </c>
      <c r="L260" s="430"/>
      <c r="M260" s="430"/>
      <c r="N260" s="430"/>
      <c r="O260" s="430"/>
      <c r="P260" s="430"/>
    </row>
    <row r="261" spans="1:16" ht="18.75" hidden="1" x14ac:dyDescent="0.25">
      <c r="A261" s="705"/>
      <c r="B261" s="432"/>
      <c r="C261" s="432"/>
      <c r="D261" s="606" t="s">
        <v>41</v>
      </c>
      <c r="E261" s="422"/>
      <c r="F261" s="422"/>
      <c r="G261" s="702"/>
      <c r="H261" s="702"/>
      <c r="I261" s="429"/>
      <c r="J261" s="429"/>
      <c r="K261" s="430"/>
      <c r="L261" s="430"/>
      <c r="M261" s="430"/>
      <c r="N261" s="430"/>
      <c r="O261" s="700"/>
      <c r="P261" s="700"/>
    </row>
    <row r="262" spans="1:16" ht="18.75" hidden="1" x14ac:dyDescent="0.25">
      <c r="A262" s="705"/>
      <c r="B262" s="432"/>
      <c r="C262" s="432"/>
      <c r="D262" s="432"/>
      <c r="E262" s="605" t="s">
        <v>103</v>
      </c>
      <c r="F262" s="422"/>
      <c r="G262" s="702"/>
      <c r="H262" s="603" t="s">
        <v>33</v>
      </c>
      <c r="I262" s="429"/>
      <c r="J262" s="523">
        <v>0</v>
      </c>
      <c r="K262" s="522">
        <f>IF(I262&gt;0,J262*100/I262,0)</f>
        <v>0</v>
      </c>
      <c r="L262" s="430"/>
      <c r="M262" s="430"/>
      <c r="N262" s="430"/>
      <c r="O262" s="430"/>
      <c r="P262" s="430"/>
    </row>
    <row r="263" spans="1:16" ht="18.75" hidden="1" x14ac:dyDescent="0.25">
      <c r="A263" s="705"/>
      <c r="B263" s="432"/>
      <c r="C263" s="432"/>
      <c r="D263" s="432"/>
      <c r="E263" s="605" t="s">
        <v>104</v>
      </c>
      <c r="F263" s="422"/>
      <c r="G263" s="702"/>
      <c r="H263" s="603" t="s">
        <v>54</v>
      </c>
      <c r="I263" s="429"/>
      <c r="J263" s="523">
        <v>0</v>
      </c>
      <c r="K263" s="522">
        <f>IF(I263&gt;0,J263*100/I263,0)</f>
        <v>0</v>
      </c>
      <c r="L263" s="430"/>
      <c r="M263" s="430"/>
      <c r="N263" s="430"/>
      <c r="O263" s="430"/>
      <c r="P263" s="430"/>
    </row>
    <row r="264" spans="1:16" ht="19.5" hidden="1" x14ac:dyDescent="0.3">
      <c r="A264" s="602" t="s">
        <v>107</v>
      </c>
      <c r="B264" s="835"/>
      <c r="C264" s="835"/>
      <c r="D264" s="834"/>
      <c r="E264" s="834"/>
      <c r="F264" s="834"/>
      <c r="G264" s="833"/>
      <c r="H264" s="833"/>
      <c r="I264" s="831"/>
      <c r="J264" s="831"/>
      <c r="K264" s="830"/>
      <c r="L264" s="830"/>
      <c r="M264" s="830"/>
      <c r="N264" s="830"/>
      <c r="O264" s="830"/>
      <c r="P264" s="830"/>
    </row>
    <row r="265" spans="1:16" ht="19.5" hidden="1" x14ac:dyDescent="0.3">
      <c r="A265" s="829"/>
      <c r="B265" s="595" t="s">
        <v>108</v>
      </c>
      <c r="C265" s="766"/>
      <c r="D265" s="704"/>
      <c r="E265" s="704"/>
      <c r="F265" s="704"/>
      <c r="G265" s="703"/>
      <c r="H265" s="593" t="s">
        <v>33</v>
      </c>
      <c r="I265" s="827">
        <f>I276</f>
        <v>0</v>
      </c>
      <c r="J265" s="827">
        <f>J276</f>
        <v>0</v>
      </c>
      <c r="K265" s="591">
        <f>IF(I265&gt;0,J265*100/I265,0)</f>
        <v>0</v>
      </c>
      <c r="L265" s="826"/>
      <c r="M265" s="826"/>
      <c r="N265" s="826"/>
      <c r="O265" s="826"/>
      <c r="P265" s="826"/>
    </row>
    <row r="266" spans="1:16" ht="19.5" hidden="1" x14ac:dyDescent="0.3">
      <c r="A266" s="706"/>
      <c r="B266" s="420"/>
      <c r="C266" s="537" t="s">
        <v>16</v>
      </c>
      <c r="D266" s="547" t="s">
        <v>17</v>
      </c>
      <c r="E266" s="420"/>
      <c r="F266" s="420"/>
      <c r="G266" s="424"/>
      <c r="H266" s="546" t="s">
        <v>12</v>
      </c>
      <c r="I266" s="429"/>
      <c r="J266" s="429"/>
      <c r="K266" s="430"/>
      <c r="L266" s="545">
        <f ca="1">L267+L268</f>
        <v>0</v>
      </c>
      <c r="M266" s="545">
        <f ca="1">M267+M268</f>
        <v>0</v>
      </c>
      <c r="N266" s="545">
        <f ca="1">N267+N268</f>
        <v>0</v>
      </c>
      <c r="O266" s="545">
        <f ca="1">IF(L266&gt;0,N266*100/L266,0)</f>
        <v>0</v>
      </c>
      <c r="P266" s="545">
        <f ca="1">IF(M266&gt;0,N266*100/M266,0)</f>
        <v>0</v>
      </c>
    </row>
    <row r="267" spans="1:16" ht="18.75" hidden="1" x14ac:dyDescent="0.25">
      <c r="A267" s="706"/>
      <c r="B267" s="420"/>
      <c r="C267" s="420"/>
      <c r="D267" s="420"/>
      <c r="E267" s="540" t="s">
        <v>18</v>
      </c>
      <c r="F267" s="420"/>
      <c r="G267" s="424"/>
      <c r="H267" s="544" t="s">
        <v>12</v>
      </c>
      <c r="I267" s="429"/>
      <c r="J267" s="429"/>
      <c r="K267" s="430"/>
      <c r="L267" s="522">
        <f>L270+L273</f>
        <v>0</v>
      </c>
      <c r="M267" s="522">
        <f>M270+M273</f>
        <v>0</v>
      </c>
      <c r="N267" s="522">
        <f>N270+N273</f>
        <v>0</v>
      </c>
      <c r="O267" s="522">
        <f>IF(L267&gt;0,N267*100/L267,0)</f>
        <v>0</v>
      </c>
      <c r="P267" s="522">
        <f>IF(M267&gt;0,N267*100/M267,0)</f>
        <v>0</v>
      </c>
    </row>
    <row r="268" spans="1:16" ht="18.75" hidden="1" x14ac:dyDescent="0.25">
      <c r="A268" s="706"/>
      <c r="B268" s="420"/>
      <c r="C268" s="420"/>
      <c r="D268" s="420"/>
      <c r="E268" s="540" t="s">
        <v>19</v>
      </c>
      <c r="F268" s="420"/>
      <c r="G268" s="424"/>
      <c r="H268" s="544" t="s">
        <v>12</v>
      </c>
      <c r="I268" s="429"/>
      <c r="J268" s="429"/>
      <c r="K268" s="430"/>
      <c r="L268" s="522">
        <f ca="1">L271+L274</f>
        <v>0</v>
      </c>
      <c r="M268" s="522">
        <f ca="1">M271+M274</f>
        <v>0</v>
      </c>
      <c r="N268" s="522">
        <f ca="1">N271+N274</f>
        <v>0</v>
      </c>
      <c r="O268" s="522">
        <f ca="1">IF(L268&gt;0,N268*100/L268,0)</f>
        <v>0</v>
      </c>
      <c r="P268" s="522">
        <f ca="1">IF(M268&gt;0,N268*100/M268,0)</f>
        <v>0</v>
      </c>
    </row>
    <row r="269" spans="1:16" ht="18.75" hidden="1" x14ac:dyDescent="0.25">
      <c r="A269" s="706"/>
      <c r="B269" s="420"/>
      <c r="C269" s="420"/>
      <c r="D269" s="543" t="s">
        <v>20</v>
      </c>
      <c r="E269" s="420"/>
      <c r="F269" s="420"/>
      <c r="G269" s="424"/>
      <c r="H269" s="542" t="s">
        <v>12</v>
      </c>
      <c r="I269" s="701"/>
      <c r="J269" s="701"/>
      <c r="K269" s="700"/>
      <c r="L269" s="522">
        <f ca="1">L270+L271</f>
        <v>0</v>
      </c>
      <c r="M269" s="522">
        <f ca="1">M270+M271</f>
        <v>0</v>
      </c>
      <c r="N269" s="522">
        <f ca="1">N270+N271</f>
        <v>0</v>
      </c>
      <c r="O269" s="522">
        <f ca="1">IF(L269&gt;0,N269*100/L269,0)</f>
        <v>0</v>
      </c>
      <c r="P269" s="522">
        <f ca="1">IF(M269&gt;0,N269*100/M269,0)</f>
        <v>0</v>
      </c>
    </row>
    <row r="270" spans="1:16" ht="18.75" hidden="1" x14ac:dyDescent="0.25">
      <c r="A270" s="706"/>
      <c r="B270" s="420"/>
      <c r="C270" s="420"/>
      <c r="D270" s="420"/>
      <c r="E270" s="540" t="s">
        <v>34</v>
      </c>
      <c r="F270" s="420"/>
      <c r="G270" s="424"/>
      <c r="H270" s="542" t="s">
        <v>12</v>
      </c>
      <c r="I270" s="701"/>
      <c r="J270" s="701"/>
      <c r="K270" s="700"/>
      <c r="L270" s="522">
        <v>0</v>
      </c>
      <c r="M270" s="522">
        <v>0</v>
      </c>
      <c r="N270" s="522">
        <v>0</v>
      </c>
      <c r="O270" s="522">
        <f>IF(L270&gt;0,N270*100/L270,0)</f>
        <v>0</v>
      </c>
      <c r="P270" s="522">
        <f>IF(M270&gt;0,N270*100/M270,0)</f>
        <v>0</v>
      </c>
    </row>
    <row r="271" spans="1:16" ht="18.75" hidden="1" x14ac:dyDescent="0.25">
      <c r="A271" s="706"/>
      <c r="B271" s="420"/>
      <c r="C271" s="420"/>
      <c r="D271" s="420"/>
      <c r="E271" s="540" t="s">
        <v>35</v>
      </c>
      <c r="F271" s="420"/>
      <c r="G271" s="424"/>
      <c r="H271" s="542" t="s">
        <v>12</v>
      </c>
      <c r="I271" s="701"/>
      <c r="J271" s="701"/>
      <c r="K271" s="700"/>
      <c r="L271" s="522">
        <f ca="1">IFERROR(__xludf.DUMMYFUNCTION("IMPORTRANGE(""https://docs.google.com/spreadsheets/d/1-uDff_7J0KD5mKrp0Vvzr7lt3OU09vwQwhkpOPPYv2Y/edit?usp=sharing"",""งบพรบ!DE73"")"),0)</f>
        <v>0</v>
      </c>
      <c r="M271" s="522">
        <f ca="1">IFERROR(__xludf.DUMMYFUNCTION("IMPORTRANGE(""https://docs.google.com/spreadsheets/d/1-uDff_7J0KD5mKrp0Vvzr7lt3OU09vwQwhkpOPPYv2Y/edit?usp=sharing"",""งบพรบ!DJ73"")"),0)</f>
        <v>0</v>
      </c>
      <c r="N271" s="522">
        <f ca="1">IFERROR(__xludf.DUMMYFUNCTION("IMPORTRANGE(""https://docs.google.com/spreadsheets/d/1-uDff_7J0KD5mKrp0Vvzr7lt3OU09vwQwhkpOPPYv2Y/edit?usp=sharing"",""งบพรบ!DL73"")"),0)</f>
        <v>0</v>
      </c>
      <c r="O271" s="522">
        <f ca="1">IF(L271&gt;0,N271*100/L271,0)</f>
        <v>0</v>
      </c>
      <c r="P271" s="522">
        <f ca="1">IF(M271&gt;0,N271*100/M271,0)</f>
        <v>0</v>
      </c>
    </row>
    <row r="272" spans="1:16" ht="18.75" hidden="1" x14ac:dyDescent="0.25">
      <c r="A272" s="706"/>
      <c r="B272" s="420"/>
      <c r="C272" s="420"/>
      <c r="D272" s="543" t="s">
        <v>21</v>
      </c>
      <c r="E272" s="420"/>
      <c r="F272" s="420"/>
      <c r="G272" s="424"/>
      <c r="H272" s="539" t="s">
        <v>12</v>
      </c>
      <c r="I272" s="701"/>
      <c r="J272" s="701"/>
      <c r="K272" s="700"/>
      <c r="L272" s="522">
        <f ca="1">L273+L274</f>
        <v>0</v>
      </c>
      <c r="M272" s="522">
        <f ca="1">M273+M274</f>
        <v>0</v>
      </c>
      <c r="N272" s="522">
        <f ca="1">N273+N274</f>
        <v>0</v>
      </c>
      <c r="O272" s="522">
        <f ca="1">IF(L272&gt;0,N272*100/L272,0)</f>
        <v>0</v>
      </c>
      <c r="P272" s="522">
        <f ca="1">IF(M272&gt;0,N272*100/M272,0)</f>
        <v>0</v>
      </c>
    </row>
    <row r="273" spans="1:16" ht="18.75" hidden="1" x14ac:dyDescent="0.25">
      <c r="A273" s="706"/>
      <c r="B273" s="420"/>
      <c r="C273" s="420"/>
      <c r="D273" s="420"/>
      <c r="E273" s="540" t="s">
        <v>18</v>
      </c>
      <c r="F273" s="420"/>
      <c r="G273" s="424"/>
      <c r="H273" s="542" t="s">
        <v>12</v>
      </c>
      <c r="I273" s="701"/>
      <c r="J273" s="701"/>
      <c r="K273" s="700"/>
      <c r="L273" s="522">
        <v>0</v>
      </c>
      <c r="M273" s="522">
        <v>0</v>
      </c>
      <c r="N273" s="522">
        <v>0</v>
      </c>
      <c r="O273" s="522">
        <f>IF(L273&gt;0,N273*100/L273,0)</f>
        <v>0</v>
      </c>
      <c r="P273" s="522">
        <f>IF(M273&gt;0,N273*100/M273,0)</f>
        <v>0</v>
      </c>
    </row>
    <row r="274" spans="1:16" ht="18.75" hidden="1" x14ac:dyDescent="0.25">
      <c r="A274" s="706"/>
      <c r="B274" s="420"/>
      <c r="C274" s="420"/>
      <c r="D274" s="420"/>
      <c r="E274" s="540" t="s">
        <v>19</v>
      </c>
      <c r="F274" s="420"/>
      <c r="G274" s="424"/>
      <c r="H274" s="539" t="s">
        <v>12</v>
      </c>
      <c r="I274" s="701"/>
      <c r="J274" s="701"/>
      <c r="K274" s="700"/>
      <c r="L274" s="522">
        <f ca="1">IFERROR(__xludf.DUMMYFUNCTION("IMPORTRANGE(""https://docs.google.com/spreadsheets/d/1-uDff_7J0KD5mKrp0Vvzr7lt3OU09vwQwhkpOPPYv2Y/edit?usp=sharing"",""งบพรบ!DH73"")"),0)</f>
        <v>0</v>
      </c>
      <c r="M274" s="522">
        <f ca="1">IFERROR(__xludf.DUMMYFUNCTION("IMPORTRANGE(""https://docs.google.com/spreadsheets/d/1-uDff_7J0KD5mKrp0Vvzr7lt3OU09vwQwhkpOPPYv2Y/edit?usp=sharing"",""งบพรบ!DK73"")"),0)</f>
        <v>0</v>
      </c>
      <c r="N274" s="522">
        <f ca="1">IFERROR(__xludf.DUMMYFUNCTION("IMPORTRANGE(""https://docs.google.com/spreadsheets/d/1-uDff_7J0KD5mKrp0Vvzr7lt3OU09vwQwhkpOPPYv2Y/edit?usp=sharing"",""งบพรบ!DM73"")"),0)</f>
        <v>0</v>
      </c>
      <c r="O274" s="522">
        <f ca="1">IF(L274&gt;0,N274*100/L274,0)</f>
        <v>0</v>
      </c>
      <c r="P274" s="522">
        <f ca="1">IF(M274&gt;0,N274*100/M274,0)</f>
        <v>0</v>
      </c>
    </row>
    <row r="275" spans="1:16" ht="19.5" hidden="1" x14ac:dyDescent="0.3">
      <c r="A275" s="705"/>
      <c r="B275" s="432"/>
      <c r="C275" s="540" t="s">
        <v>16</v>
      </c>
      <c r="D275" s="536" t="s">
        <v>36</v>
      </c>
      <c r="E275" s="704"/>
      <c r="F275" s="704"/>
      <c r="G275" s="703"/>
      <c r="H275" s="702"/>
      <c r="I275" s="701"/>
      <c r="J275" s="701"/>
      <c r="K275" s="700"/>
      <c r="L275" s="700"/>
      <c r="M275" s="700"/>
      <c r="N275" s="700"/>
      <c r="O275" s="700"/>
      <c r="P275" s="700"/>
    </row>
    <row r="276" spans="1:16" ht="12.75" hidden="1" x14ac:dyDescent="0.2">
      <c r="A276" s="788"/>
      <c r="B276" s="787"/>
      <c r="C276" s="787"/>
      <c r="D276" s="786"/>
      <c r="E276" s="786"/>
      <c r="F276" s="786"/>
      <c r="G276" s="785"/>
      <c r="H276" s="785"/>
      <c r="I276" s="783"/>
      <c r="J276" s="783"/>
      <c r="K276" s="782"/>
      <c r="L276" s="782"/>
      <c r="M276" s="782"/>
      <c r="N276" s="782"/>
      <c r="O276" s="782"/>
      <c r="P276" s="782"/>
    </row>
    <row r="277" spans="1:16" ht="18.75" hidden="1" x14ac:dyDescent="0.25">
      <c r="A277" s="823"/>
      <c r="B277" s="697"/>
      <c r="C277" s="697"/>
      <c r="D277" s="822" t="s">
        <v>109</v>
      </c>
      <c r="E277" s="821"/>
      <c r="F277" s="821"/>
      <c r="G277" s="820"/>
      <c r="H277" s="1008" t="s">
        <v>33</v>
      </c>
      <c r="I277" s="513">
        <v>0</v>
      </c>
      <c r="J277" s="513">
        <v>0</v>
      </c>
      <c r="K277" s="818">
        <v>0</v>
      </c>
      <c r="L277" s="817"/>
      <c r="M277" s="817"/>
      <c r="N277" s="817"/>
      <c r="O277" s="817"/>
      <c r="P277" s="817"/>
    </row>
    <row r="278" spans="1:16" ht="19.5" hidden="1" x14ac:dyDescent="0.3">
      <c r="A278" s="816" t="s">
        <v>110</v>
      </c>
      <c r="B278" s="814"/>
      <c r="C278" s="814"/>
      <c r="D278" s="814"/>
      <c r="E278" s="815"/>
      <c r="F278" s="815"/>
      <c r="G278" s="815"/>
      <c r="H278" s="815"/>
      <c r="I278" s="813"/>
      <c r="J278" s="813"/>
      <c r="K278" s="812"/>
      <c r="L278" s="812"/>
      <c r="M278" s="812"/>
      <c r="N278" s="812"/>
      <c r="O278" s="812"/>
      <c r="P278" s="811"/>
    </row>
    <row r="279" spans="1:16" ht="19.5" hidden="1" x14ac:dyDescent="0.3">
      <c r="A279" s="810" t="s">
        <v>111</v>
      </c>
      <c r="B279" s="809"/>
      <c r="C279" s="808"/>
      <c r="D279" s="809"/>
      <c r="E279" s="809"/>
      <c r="F279" s="809"/>
      <c r="G279" s="809"/>
      <c r="H279" s="809"/>
      <c r="I279" s="807"/>
      <c r="J279" s="806"/>
      <c r="K279" s="805"/>
      <c r="L279" s="805"/>
      <c r="M279" s="805"/>
      <c r="N279" s="805"/>
      <c r="O279" s="805"/>
      <c r="P279" s="805"/>
    </row>
    <row r="280" spans="1:16" ht="19.5" hidden="1" x14ac:dyDescent="0.3">
      <c r="A280" s="803"/>
      <c r="B280" s="804" t="s">
        <v>112</v>
      </c>
      <c r="C280" s="801"/>
      <c r="D280" s="802"/>
      <c r="E280" s="801"/>
      <c r="F280" s="801"/>
      <c r="G280" s="800"/>
      <c r="H280" s="1007" t="s">
        <v>33</v>
      </c>
      <c r="I280" s="798">
        <f ca="1">I293</f>
        <v>0</v>
      </c>
      <c r="J280" s="798">
        <f>J293</f>
        <v>0</v>
      </c>
      <c r="K280" s="797">
        <f ca="1">IF(I280&gt;0,J280*100/I280,0)</f>
        <v>0</v>
      </c>
      <c r="L280" s="796"/>
      <c r="M280" s="796"/>
      <c r="N280" s="796"/>
      <c r="O280" s="796"/>
      <c r="P280" s="796"/>
    </row>
    <row r="281" spans="1:16" ht="19.5" hidden="1" x14ac:dyDescent="0.3">
      <c r="A281" s="803"/>
      <c r="B281" s="801"/>
      <c r="C281" s="801"/>
      <c r="D281" s="802"/>
      <c r="E281" s="801"/>
      <c r="F281" s="801"/>
      <c r="G281" s="800"/>
      <c r="H281" s="1007" t="s">
        <v>44</v>
      </c>
      <c r="I281" s="798">
        <f ca="1">I292</f>
        <v>0</v>
      </c>
      <c r="J281" s="798">
        <f>J292</f>
        <v>0</v>
      </c>
      <c r="K281" s="797">
        <f ca="1">IF(I281&gt;0,J281*100/I281,0)</f>
        <v>0</v>
      </c>
      <c r="L281" s="796"/>
      <c r="M281" s="796"/>
      <c r="N281" s="796"/>
      <c r="O281" s="796"/>
      <c r="P281" s="796"/>
    </row>
    <row r="282" spans="1:16" ht="19.5" hidden="1" x14ac:dyDescent="0.3">
      <c r="A282" s="706"/>
      <c r="B282" s="420"/>
      <c r="C282" s="740" t="s">
        <v>16</v>
      </c>
      <c r="D282" s="739" t="s">
        <v>17</v>
      </c>
      <c r="E282" s="420"/>
      <c r="F282" s="420"/>
      <c r="G282" s="424"/>
      <c r="H282" s="738" t="s">
        <v>12</v>
      </c>
      <c r="I282" s="429"/>
      <c r="J282" s="429"/>
      <c r="K282" s="430"/>
      <c r="L282" s="737">
        <f ca="1">L283+L284</f>
        <v>0</v>
      </c>
      <c r="M282" s="737">
        <f ca="1">M283+M284</f>
        <v>0</v>
      </c>
      <c r="N282" s="737">
        <f ca="1">N283+N284</f>
        <v>0</v>
      </c>
      <c r="O282" s="737">
        <f ca="1">IF(L282&gt;0,N282*100/L282,0)</f>
        <v>0</v>
      </c>
      <c r="P282" s="737">
        <f ca="1">IF(M282&gt;0,N282*100/M282,0)</f>
        <v>0</v>
      </c>
    </row>
    <row r="283" spans="1:16" ht="18.75" hidden="1" x14ac:dyDescent="0.25">
      <c r="A283" s="706"/>
      <c r="B283" s="420"/>
      <c r="C283" s="420"/>
      <c r="D283" s="420"/>
      <c r="E283" s="540" t="s">
        <v>18</v>
      </c>
      <c r="F283" s="420"/>
      <c r="G283" s="424"/>
      <c r="H283" s="544" t="s">
        <v>12</v>
      </c>
      <c r="I283" s="429"/>
      <c r="J283" s="429"/>
      <c r="K283" s="430"/>
      <c r="L283" s="522">
        <f>L286+L289</f>
        <v>0</v>
      </c>
      <c r="M283" s="522">
        <f>M286+M289</f>
        <v>0</v>
      </c>
      <c r="N283" s="522">
        <f>N286+N289</f>
        <v>0</v>
      </c>
      <c r="O283" s="522">
        <f>IF(L283&gt;0,N283*100/L283,0)</f>
        <v>0</v>
      </c>
      <c r="P283" s="522">
        <f>IF(M283&gt;0,N283*100/M283,0)</f>
        <v>0</v>
      </c>
    </row>
    <row r="284" spans="1:16" ht="18.75" hidden="1" x14ac:dyDescent="0.25">
      <c r="A284" s="706"/>
      <c r="B284" s="420"/>
      <c r="C284" s="420"/>
      <c r="D284" s="420"/>
      <c r="E284" s="295" t="s">
        <v>19</v>
      </c>
      <c r="F284" s="420"/>
      <c r="G284" s="424"/>
      <c r="H284" s="442" t="s">
        <v>12</v>
      </c>
      <c r="I284" s="429"/>
      <c r="J284" s="429"/>
      <c r="K284" s="430"/>
      <c r="L284" s="427">
        <f ca="1">L287+L290</f>
        <v>0</v>
      </c>
      <c r="M284" s="427">
        <f ca="1">M287+M290</f>
        <v>0</v>
      </c>
      <c r="N284" s="427">
        <f ca="1">N287+N290</f>
        <v>0</v>
      </c>
      <c r="O284" s="427">
        <f ca="1">IF(L284&gt;0,N284*100/L284,0)</f>
        <v>0</v>
      </c>
      <c r="P284" s="427">
        <f ca="1">IF(M284&gt;0,N284*100/M284,0)</f>
        <v>0</v>
      </c>
    </row>
    <row r="285" spans="1:16" ht="18.75" hidden="1" x14ac:dyDescent="0.25">
      <c r="A285" s="706"/>
      <c r="B285" s="420"/>
      <c r="C285" s="420"/>
      <c r="D285" s="735" t="s">
        <v>20</v>
      </c>
      <c r="E285" s="420"/>
      <c r="F285" s="420"/>
      <c r="G285" s="424"/>
      <c r="H285" s="736" t="s">
        <v>12</v>
      </c>
      <c r="I285" s="701"/>
      <c r="J285" s="701"/>
      <c r="K285" s="700"/>
      <c r="L285" s="427">
        <f ca="1">L286+L287</f>
        <v>0</v>
      </c>
      <c r="M285" s="427">
        <f ca="1">M286+M287</f>
        <v>0</v>
      </c>
      <c r="N285" s="427">
        <f ca="1">N286+N287</f>
        <v>0</v>
      </c>
      <c r="O285" s="427">
        <f ca="1">IF(L285&gt;0,N285*100/L285,0)</f>
        <v>0</v>
      </c>
      <c r="P285" s="427">
        <f ca="1">IF(M285&gt;0,N285*100/M285,0)</f>
        <v>0</v>
      </c>
    </row>
    <row r="286" spans="1:16" ht="18.75" hidden="1" x14ac:dyDescent="0.25">
      <c r="A286" s="706"/>
      <c r="B286" s="420"/>
      <c r="C286" s="420"/>
      <c r="D286" s="420"/>
      <c r="E286" s="540" t="s">
        <v>34</v>
      </c>
      <c r="F286" s="420"/>
      <c r="G286" s="424"/>
      <c r="H286" s="542" t="s">
        <v>12</v>
      </c>
      <c r="I286" s="701"/>
      <c r="J286" s="701"/>
      <c r="K286" s="700"/>
      <c r="L286" s="522">
        <v>0</v>
      </c>
      <c r="M286" s="522">
        <v>0</v>
      </c>
      <c r="N286" s="522">
        <v>0</v>
      </c>
      <c r="O286" s="522">
        <f>IF(L286&gt;0,N286*100/L286,0)</f>
        <v>0</v>
      </c>
      <c r="P286" s="522">
        <f>IF(M286&gt;0,N286*100/M286,0)</f>
        <v>0</v>
      </c>
    </row>
    <row r="287" spans="1:16" ht="18.75" hidden="1" x14ac:dyDescent="0.25">
      <c r="A287" s="706"/>
      <c r="B287" s="420"/>
      <c r="C287" s="420"/>
      <c r="D287" s="420"/>
      <c r="E287" s="295" t="s">
        <v>35</v>
      </c>
      <c r="F287" s="420"/>
      <c r="G287" s="424"/>
      <c r="H287" s="736" t="s">
        <v>12</v>
      </c>
      <c r="I287" s="701"/>
      <c r="J287" s="701"/>
      <c r="K287" s="700"/>
      <c r="L287" s="427">
        <f ca="1">IFERROR(__xludf.DUMMYFUNCTION("IMPORTRANGE(""https://docs.google.com/spreadsheets/d/1-uDff_7J0KD5mKrp0Vvzr7lt3OU09vwQwhkpOPPYv2Y/edit?usp=sharing"",""งบพรบ!DO73"")"),0)</f>
        <v>0</v>
      </c>
      <c r="M287" s="427">
        <f ca="1">IFERROR(__xludf.DUMMYFUNCTION("IMPORTRANGE(""https://docs.google.com/spreadsheets/d/1-uDff_7J0KD5mKrp0Vvzr7lt3OU09vwQwhkpOPPYv2Y/edit?usp=sharing"",""งบพรบ!DT73"")"),0)</f>
        <v>0</v>
      </c>
      <c r="N287" s="427">
        <f ca="1">IFERROR(__xludf.DUMMYFUNCTION("IMPORTRANGE(""https://docs.google.com/spreadsheets/d/1-uDff_7J0KD5mKrp0Vvzr7lt3OU09vwQwhkpOPPYv2Y/edit?usp=sharing"",""งบพรบ!DV73"")"),0)</f>
        <v>0</v>
      </c>
      <c r="O287" s="427">
        <f ca="1">IF(L287&gt;0,N287*100/L287,0)</f>
        <v>0</v>
      </c>
      <c r="P287" s="427">
        <f ca="1">IF(M287&gt;0,N287*100/M287,0)</f>
        <v>0</v>
      </c>
    </row>
    <row r="288" spans="1:16" ht="18.75" hidden="1" x14ac:dyDescent="0.25">
      <c r="A288" s="706"/>
      <c r="B288" s="420"/>
      <c r="C288" s="420"/>
      <c r="D288" s="735" t="s">
        <v>21</v>
      </c>
      <c r="E288" s="420"/>
      <c r="F288" s="420"/>
      <c r="G288" s="424"/>
      <c r="H288" s="727" t="s">
        <v>12</v>
      </c>
      <c r="I288" s="701"/>
      <c r="J288" s="701"/>
      <c r="K288" s="700"/>
      <c r="L288" s="427">
        <f ca="1">L289+L290</f>
        <v>0</v>
      </c>
      <c r="M288" s="427">
        <f ca="1">M289+M290</f>
        <v>0</v>
      </c>
      <c r="N288" s="427">
        <f ca="1">N289+N290</f>
        <v>0</v>
      </c>
      <c r="O288" s="427">
        <f ca="1">IF(L288&gt;0,N288*100/L288,0)</f>
        <v>0</v>
      </c>
      <c r="P288" s="427">
        <f ca="1">IF(M288&gt;0,N288*100/M288,0)</f>
        <v>0</v>
      </c>
    </row>
    <row r="289" spans="1:16" ht="18.75" hidden="1" x14ac:dyDescent="0.25">
      <c r="A289" s="706"/>
      <c r="B289" s="420"/>
      <c r="C289" s="420"/>
      <c r="D289" s="420"/>
      <c r="E289" s="540" t="s">
        <v>18</v>
      </c>
      <c r="F289" s="420"/>
      <c r="G289" s="424"/>
      <c r="H289" s="542" t="s">
        <v>12</v>
      </c>
      <c r="I289" s="701"/>
      <c r="J289" s="701"/>
      <c r="K289" s="700"/>
      <c r="L289" s="522">
        <v>0</v>
      </c>
      <c r="M289" s="522">
        <v>0</v>
      </c>
      <c r="N289" s="522">
        <v>0</v>
      </c>
      <c r="O289" s="522">
        <f>IF(L289&gt;0,N289*100/L289,0)</f>
        <v>0</v>
      </c>
      <c r="P289" s="522">
        <f>IF(M289&gt;0,N289*100/M289,0)</f>
        <v>0</v>
      </c>
    </row>
    <row r="290" spans="1:16" ht="18.75" hidden="1" x14ac:dyDescent="0.25">
      <c r="A290" s="706"/>
      <c r="B290" s="420"/>
      <c r="C290" s="420"/>
      <c r="D290" s="420"/>
      <c r="E290" s="295" t="s">
        <v>19</v>
      </c>
      <c r="F290" s="420"/>
      <c r="G290" s="424"/>
      <c r="H290" s="727" t="s">
        <v>12</v>
      </c>
      <c r="I290" s="701"/>
      <c r="J290" s="701"/>
      <c r="K290" s="700"/>
      <c r="L290" s="427">
        <f ca="1">IFERROR(__xludf.DUMMYFUNCTION("IMPORTRANGE(""https://docs.google.com/spreadsheets/d/1-uDff_7J0KD5mKrp0Vvzr7lt3OU09vwQwhkpOPPYv2Y/edit?usp=sharing"",""งบพรบ!DR73"")"),0)</f>
        <v>0</v>
      </c>
      <c r="M290" s="427">
        <f ca="1">IFERROR(__xludf.DUMMYFUNCTION("IMPORTRANGE(""https://docs.google.com/spreadsheets/d/1-uDff_7J0KD5mKrp0Vvzr7lt3OU09vwQwhkpOPPYv2Y/edit?usp=sharing"",""งบพรบ!DU73"")"),0)</f>
        <v>0</v>
      </c>
      <c r="N290" s="427">
        <f ca="1">IFERROR(__xludf.DUMMYFUNCTION("IMPORTRANGE(""https://docs.google.com/spreadsheets/d/1-uDff_7J0KD5mKrp0Vvzr7lt3OU09vwQwhkpOPPYv2Y/edit?usp=sharing"",""งบพรบ!DW73"")"),0)</f>
        <v>0</v>
      </c>
      <c r="O290" s="427">
        <f ca="1">IF(L290&gt;0,N290*100/L290,0)</f>
        <v>0</v>
      </c>
      <c r="P290" s="427">
        <f ca="1">IF(M290&gt;0,N290*100/M290,0)</f>
        <v>0</v>
      </c>
    </row>
    <row r="291" spans="1:16" ht="19.5" hidden="1" x14ac:dyDescent="0.3">
      <c r="A291" s="705"/>
      <c r="B291" s="432"/>
      <c r="C291" s="740" t="s">
        <v>16</v>
      </c>
      <c r="D291" s="759" t="s">
        <v>36</v>
      </c>
      <c r="E291" s="704"/>
      <c r="F291" s="704"/>
      <c r="G291" s="703"/>
      <c r="H291" s="702"/>
      <c r="I291" s="701"/>
      <c r="J291" s="701"/>
      <c r="K291" s="700"/>
      <c r="L291" s="700"/>
      <c r="M291" s="700"/>
      <c r="N291" s="700"/>
      <c r="O291" s="700"/>
      <c r="P291" s="700"/>
    </row>
    <row r="292" spans="1:16" ht="18.75" hidden="1" x14ac:dyDescent="0.25">
      <c r="A292" s="705"/>
      <c r="B292" s="432"/>
      <c r="C292" s="432"/>
      <c r="D292" s="423" t="s">
        <v>113</v>
      </c>
      <c r="E292" s="432"/>
      <c r="F292" s="422"/>
      <c r="G292" s="702"/>
      <c r="H292" s="729" t="s">
        <v>44</v>
      </c>
      <c r="I292" s="426">
        <f ca="1">IFERROR(__xludf.DUMMYFUNCTION("IMPORTRANGE(""https://docs.google.com/spreadsheets/d/1eHaY18a8A9IcSdp1K8H6x8fbOy06t2VsZHhMHf-1x7Y/edit?usp=sharing"",""แผน!EE73"")"),0)</f>
        <v>0</v>
      </c>
      <c r="J292" s="758">
        <v>0</v>
      </c>
      <c r="K292" s="789">
        <f ca="1">IF(I292&gt;0,J292*100/I292,0)</f>
        <v>0</v>
      </c>
      <c r="L292" s="700"/>
      <c r="M292" s="700"/>
      <c r="N292" s="700"/>
      <c r="O292" s="700"/>
      <c r="P292" s="700"/>
    </row>
    <row r="293" spans="1:16" ht="19.5" hidden="1" x14ac:dyDescent="0.3">
      <c r="A293" s="705"/>
      <c r="B293" s="432"/>
      <c r="C293" s="432"/>
      <c r="D293" s="423" t="s">
        <v>114</v>
      </c>
      <c r="E293" s="432"/>
      <c r="F293" s="422"/>
      <c r="G293" s="702"/>
      <c r="H293" s="795" t="s">
        <v>33</v>
      </c>
      <c r="I293" s="794">
        <f ca="1">IFERROR(__xludf.DUMMYFUNCTION("IMPORTRANGE(""https://docs.google.com/spreadsheets/d/1eHaY18a8A9IcSdp1K8H6x8fbOy06t2VsZHhMHf-1x7Y/edit?usp=sharing"",""แผน!ED73"")"),0)</f>
        <v>0</v>
      </c>
      <c r="J293" s="794">
        <f>J296</f>
        <v>0</v>
      </c>
      <c r="K293" s="793">
        <f ca="1">IF(I293&gt;0,J293*100/I293,0)</f>
        <v>0</v>
      </c>
      <c r="L293" s="700"/>
      <c r="M293" s="700"/>
      <c r="N293" s="700"/>
      <c r="O293" s="700"/>
      <c r="P293" s="700"/>
    </row>
    <row r="294" spans="1:16" ht="19.5" hidden="1" x14ac:dyDescent="0.3">
      <c r="A294" s="705"/>
      <c r="B294" s="432"/>
      <c r="C294" s="432"/>
      <c r="D294" s="422"/>
      <c r="E294" s="792" t="s">
        <v>159</v>
      </c>
      <c r="F294" s="422"/>
      <c r="G294" s="702"/>
      <c r="H294" s="702"/>
      <c r="I294" s="701"/>
      <c r="J294" s="429"/>
      <c r="K294" s="700"/>
      <c r="L294" s="700"/>
      <c r="M294" s="700"/>
      <c r="N294" s="700"/>
      <c r="O294" s="700"/>
      <c r="P294" s="700"/>
    </row>
    <row r="295" spans="1:16" ht="19.5" hidden="1" x14ac:dyDescent="0.3">
      <c r="A295" s="705"/>
      <c r="B295" s="432"/>
      <c r="C295" s="432"/>
      <c r="D295" s="422"/>
      <c r="E295" s="423" t="s">
        <v>158</v>
      </c>
      <c r="F295" s="422"/>
      <c r="G295" s="702"/>
      <c r="H295" s="791" t="s">
        <v>33</v>
      </c>
      <c r="I295" s="790">
        <f ca="1">IFERROR(__xludf.DUMMYFUNCTION("IMPORTRANGE(""https://docs.google.com/spreadsheets/d/1eHaY18a8A9IcSdp1K8H6x8fbOy06t2VsZHhMHf-1x7Y/edit?usp=sharing"",""แผน!ED73"")"),0)</f>
        <v>0</v>
      </c>
      <c r="J295" s="758">
        <v>0</v>
      </c>
      <c r="K295" s="789">
        <f ca="1">IF(I295&gt;0,J295*100/I295,0)</f>
        <v>0</v>
      </c>
      <c r="L295" s="700"/>
      <c r="M295" s="700"/>
      <c r="N295" s="700"/>
      <c r="O295" s="700"/>
      <c r="P295" s="700"/>
    </row>
    <row r="296" spans="1:16" ht="19.5" hidden="1" x14ac:dyDescent="0.3">
      <c r="A296" s="705"/>
      <c r="B296" s="432"/>
      <c r="C296" s="432"/>
      <c r="D296" s="422"/>
      <c r="E296" s="423" t="s">
        <v>157</v>
      </c>
      <c r="F296" s="422"/>
      <c r="G296" s="702"/>
      <c r="H296" s="791" t="s">
        <v>33</v>
      </c>
      <c r="I296" s="790">
        <f ca="1">IFERROR(__xludf.DUMMYFUNCTION("IMPORTRANGE(""https://docs.google.com/spreadsheets/d/1eHaY18a8A9IcSdp1K8H6x8fbOy06t2VsZHhMHf-1x7Y/edit?usp=sharing"",""แผน!ED73"")"),0)</f>
        <v>0</v>
      </c>
      <c r="J296" s="758">
        <v>0</v>
      </c>
      <c r="K296" s="789">
        <f ca="1">IF(I296&gt;0,J296*100/I296,0)</f>
        <v>0</v>
      </c>
      <c r="L296" s="700"/>
      <c r="M296" s="700"/>
      <c r="N296" s="700"/>
      <c r="O296" s="700"/>
      <c r="P296" s="700"/>
    </row>
    <row r="297" spans="1:16" ht="12.75" hidden="1" x14ac:dyDescent="0.2">
      <c r="A297" s="788"/>
      <c r="B297" s="787"/>
      <c r="C297" s="787"/>
      <c r="D297" s="786"/>
      <c r="E297" s="786"/>
      <c r="F297" s="786"/>
      <c r="G297" s="785"/>
      <c r="H297" s="785"/>
      <c r="I297" s="783"/>
      <c r="J297" s="783"/>
      <c r="K297" s="782"/>
      <c r="L297" s="782"/>
      <c r="M297" s="782"/>
      <c r="N297" s="782"/>
      <c r="O297" s="782"/>
      <c r="P297" s="782"/>
    </row>
    <row r="298" spans="1:16" ht="12.75" hidden="1" x14ac:dyDescent="0.2">
      <c r="A298" s="788"/>
      <c r="B298" s="787"/>
      <c r="C298" s="787"/>
      <c r="D298" s="786"/>
      <c r="E298" s="786"/>
      <c r="F298" s="786"/>
      <c r="G298" s="785"/>
      <c r="H298" s="785"/>
      <c r="I298" s="783"/>
      <c r="J298" s="783"/>
      <c r="K298" s="782"/>
      <c r="L298" s="782"/>
      <c r="M298" s="782"/>
      <c r="N298" s="782"/>
      <c r="O298" s="782"/>
      <c r="P298" s="782"/>
    </row>
    <row r="299" spans="1:16" ht="12.75" hidden="1" x14ac:dyDescent="0.2">
      <c r="A299" s="781"/>
      <c r="B299" s="780"/>
      <c r="C299" s="780"/>
      <c r="D299" s="779"/>
      <c r="E299" s="779"/>
      <c r="F299" s="779"/>
      <c r="G299" s="778"/>
      <c r="H299" s="778"/>
      <c r="I299" s="776"/>
      <c r="J299" s="776"/>
      <c r="K299" s="775"/>
      <c r="L299" s="775"/>
      <c r="M299" s="775"/>
      <c r="N299" s="775"/>
      <c r="O299" s="775"/>
      <c r="P299" s="775"/>
    </row>
    <row r="300" spans="1:16" ht="19.5" x14ac:dyDescent="0.3">
      <c r="A300" s="774" t="s">
        <v>118</v>
      </c>
      <c r="B300" s="772"/>
      <c r="C300" s="772"/>
      <c r="D300" s="772"/>
      <c r="E300" s="773"/>
      <c r="F300" s="773"/>
      <c r="G300" s="773"/>
      <c r="H300" s="773"/>
      <c r="I300" s="771"/>
      <c r="J300" s="771"/>
      <c r="K300" s="770"/>
      <c r="L300" s="770"/>
      <c r="M300" s="770"/>
      <c r="N300" s="770"/>
      <c r="O300" s="770"/>
      <c r="P300" s="769"/>
    </row>
    <row r="301" spans="1:16" ht="19.5" hidden="1" x14ac:dyDescent="0.3">
      <c r="A301" s="757" t="s">
        <v>119</v>
      </c>
      <c r="B301" s="755"/>
      <c r="C301" s="755"/>
      <c r="D301" s="756"/>
      <c r="E301" s="756"/>
      <c r="F301" s="756"/>
      <c r="G301" s="768"/>
      <c r="H301" s="768"/>
      <c r="I301" s="754"/>
      <c r="J301" s="754"/>
      <c r="K301" s="753"/>
      <c r="L301" s="753"/>
      <c r="M301" s="753"/>
      <c r="N301" s="753"/>
      <c r="O301" s="753"/>
      <c r="P301" s="753"/>
    </row>
    <row r="302" spans="1:16" ht="19.5" hidden="1" x14ac:dyDescent="0.3">
      <c r="A302" s="748"/>
      <c r="B302" s="747" t="s">
        <v>120</v>
      </c>
      <c r="C302" s="745"/>
      <c r="D302" s="745"/>
      <c r="E302" s="745"/>
      <c r="F302" s="745"/>
      <c r="G302" s="744"/>
      <c r="H302" s="1006" t="s">
        <v>33</v>
      </c>
      <c r="I302" s="761">
        <f ca="1">I314</f>
        <v>0</v>
      </c>
      <c r="J302" s="761">
        <f>J314</f>
        <v>0</v>
      </c>
      <c r="K302" s="760">
        <f ca="1">IF(I302&gt;0,J302*100/I302,0)</f>
        <v>0</v>
      </c>
      <c r="L302" s="741"/>
      <c r="M302" s="741"/>
      <c r="N302" s="741"/>
      <c r="O302" s="741"/>
      <c r="P302" s="741"/>
    </row>
    <row r="303" spans="1:16" ht="19.5" hidden="1" x14ac:dyDescent="0.3">
      <c r="A303" s="706"/>
      <c r="B303" s="420"/>
      <c r="C303" s="740" t="s">
        <v>16</v>
      </c>
      <c r="D303" s="739" t="s">
        <v>17</v>
      </c>
      <c r="E303" s="420"/>
      <c r="F303" s="420"/>
      <c r="G303" s="424"/>
      <c r="H303" s="738" t="s">
        <v>12</v>
      </c>
      <c r="I303" s="429"/>
      <c r="J303" s="429"/>
      <c r="K303" s="430"/>
      <c r="L303" s="737">
        <f ca="1">L304+L305</f>
        <v>0</v>
      </c>
      <c r="M303" s="737">
        <f ca="1">M304+M305</f>
        <v>0</v>
      </c>
      <c r="N303" s="737">
        <f ca="1">N304+N305</f>
        <v>0</v>
      </c>
      <c r="O303" s="737">
        <f ca="1">IF(L303&gt;0,N303*100/L303,0)</f>
        <v>0</v>
      </c>
      <c r="P303" s="737">
        <f ca="1">IF(M303&gt;0,N303*100/M303,0)</f>
        <v>0</v>
      </c>
    </row>
    <row r="304" spans="1:16" ht="18.75" hidden="1" x14ac:dyDescent="0.25">
      <c r="A304" s="706"/>
      <c r="B304" s="420"/>
      <c r="C304" s="420"/>
      <c r="D304" s="420"/>
      <c r="E304" s="540" t="s">
        <v>18</v>
      </c>
      <c r="F304" s="420"/>
      <c r="G304" s="424"/>
      <c r="H304" s="544" t="s">
        <v>12</v>
      </c>
      <c r="I304" s="429"/>
      <c r="J304" s="429"/>
      <c r="K304" s="430"/>
      <c r="L304" s="522">
        <f>L307+L310</f>
        <v>0</v>
      </c>
      <c r="M304" s="522">
        <f>M307+M310</f>
        <v>0</v>
      </c>
      <c r="N304" s="522">
        <f>N307+N310</f>
        <v>0</v>
      </c>
      <c r="O304" s="522">
        <f>IF(L304&gt;0,N304*100/L304,0)</f>
        <v>0</v>
      </c>
      <c r="P304" s="522">
        <f>IF(M304&gt;0,N304*100/M304,0)</f>
        <v>0</v>
      </c>
    </row>
    <row r="305" spans="1:16" ht="18.75" hidden="1" x14ac:dyDescent="0.25">
      <c r="A305" s="706"/>
      <c r="B305" s="420"/>
      <c r="C305" s="420"/>
      <c r="D305" s="420"/>
      <c r="E305" s="295" t="s">
        <v>19</v>
      </c>
      <c r="F305" s="420"/>
      <c r="G305" s="424"/>
      <c r="H305" s="442" t="s">
        <v>12</v>
      </c>
      <c r="I305" s="429"/>
      <c r="J305" s="429"/>
      <c r="K305" s="430"/>
      <c r="L305" s="427">
        <f ca="1">L308+L311</f>
        <v>0</v>
      </c>
      <c r="M305" s="427">
        <f ca="1">M308+M311</f>
        <v>0</v>
      </c>
      <c r="N305" s="427">
        <f ca="1">N308+N311</f>
        <v>0</v>
      </c>
      <c r="O305" s="427">
        <f ca="1">IF(L305&gt;0,N305*100/L305,0)</f>
        <v>0</v>
      </c>
      <c r="P305" s="427">
        <f ca="1">IF(M305&gt;0,N305*100/M305,0)</f>
        <v>0</v>
      </c>
    </row>
    <row r="306" spans="1:16" ht="18.75" hidden="1" x14ac:dyDescent="0.25">
      <c r="A306" s="706"/>
      <c r="B306" s="420"/>
      <c r="C306" s="420"/>
      <c r="D306" s="735" t="s">
        <v>20</v>
      </c>
      <c r="E306" s="420"/>
      <c r="F306" s="420"/>
      <c r="G306" s="424"/>
      <c r="H306" s="736" t="s">
        <v>12</v>
      </c>
      <c r="I306" s="701"/>
      <c r="J306" s="701"/>
      <c r="K306" s="700"/>
      <c r="L306" s="427">
        <f ca="1">L307+L308</f>
        <v>0</v>
      </c>
      <c r="M306" s="427">
        <f ca="1">M307+M308</f>
        <v>0</v>
      </c>
      <c r="N306" s="427">
        <f ca="1">N307+N308</f>
        <v>0</v>
      </c>
      <c r="O306" s="427">
        <f ca="1">IF(L306&gt;0,N306*100/L306,0)</f>
        <v>0</v>
      </c>
      <c r="P306" s="427">
        <f ca="1">IF(M306&gt;0,N306*100/M306,0)</f>
        <v>0</v>
      </c>
    </row>
    <row r="307" spans="1:16" ht="18.75" hidden="1" x14ac:dyDescent="0.25">
      <c r="A307" s="706"/>
      <c r="B307" s="420"/>
      <c r="C307" s="420"/>
      <c r="D307" s="420"/>
      <c r="E307" s="540" t="s">
        <v>34</v>
      </c>
      <c r="F307" s="420"/>
      <c r="G307" s="424"/>
      <c r="H307" s="542" t="s">
        <v>12</v>
      </c>
      <c r="I307" s="701"/>
      <c r="J307" s="701"/>
      <c r="K307" s="700"/>
      <c r="L307" s="522">
        <v>0</v>
      </c>
      <c r="M307" s="522">
        <v>0</v>
      </c>
      <c r="N307" s="522">
        <v>0</v>
      </c>
      <c r="O307" s="522">
        <f>IF(L307&gt;0,N307*100/L307,0)</f>
        <v>0</v>
      </c>
      <c r="P307" s="522">
        <f>IF(M307&gt;0,N307*100/M307,0)</f>
        <v>0</v>
      </c>
    </row>
    <row r="308" spans="1:16" ht="18.75" hidden="1" x14ac:dyDescent="0.25">
      <c r="A308" s="706"/>
      <c r="B308" s="420"/>
      <c r="C308" s="420"/>
      <c r="D308" s="420"/>
      <c r="E308" s="295" t="s">
        <v>35</v>
      </c>
      <c r="F308" s="420"/>
      <c r="G308" s="424"/>
      <c r="H308" s="736" t="s">
        <v>12</v>
      </c>
      <c r="I308" s="701"/>
      <c r="J308" s="701"/>
      <c r="K308" s="700"/>
      <c r="L308" s="427">
        <f ca="1">IFERROR(__xludf.DUMMYFUNCTION("IMPORTRANGE(""https://docs.google.com/spreadsheets/d/1-uDff_7J0KD5mKrp0Vvzr7lt3OU09vwQwhkpOPPYv2Y/edit?usp=sharing"",""งบพรบ!DY73"")"),0)</f>
        <v>0</v>
      </c>
      <c r="M308" s="427">
        <f ca="1">IFERROR(__xludf.DUMMYFUNCTION("IMPORTRANGE(""https://docs.google.com/spreadsheets/d/1-uDff_7J0KD5mKrp0Vvzr7lt3OU09vwQwhkpOPPYv2Y/edit?usp=sharing"",""งบพรบ!ED73"")"),0)</f>
        <v>0</v>
      </c>
      <c r="N308" s="427">
        <f ca="1">IFERROR(__xludf.DUMMYFUNCTION("IMPORTRANGE(""https://docs.google.com/spreadsheets/d/1-uDff_7J0KD5mKrp0Vvzr7lt3OU09vwQwhkpOPPYv2Y/edit?usp=sharing"",""งบพรบ!EF73"")"),0)</f>
        <v>0</v>
      </c>
      <c r="O308" s="427">
        <f ca="1">IF(L308&gt;0,N308*100/L308,0)</f>
        <v>0</v>
      </c>
      <c r="P308" s="427">
        <f ca="1">IF(M308&gt;0,N308*100/M308,0)</f>
        <v>0</v>
      </c>
    </row>
    <row r="309" spans="1:16" ht="18.75" hidden="1" x14ac:dyDescent="0.25">
      <c r="A309" s="706"/>
      <c r="B309" s="420"/>
      <c r="C309" s="420"/>
      <c r="D309" s="735" t="s">
        <v>21</v>
      </c>
      <c r="E309" s="420"/>
      <c r="F309" s="420"/>
      <c r="G309" s="424"/>
      <c r="H309" s="727" t="s">
        <v>12</v>
      </c>
      <c r="I309" s="701"/>
      <c r="J309" s="701"/>
      <c r="K309" s="700"/>
      <c r="L309" s="427">
        <f ca="1">L310+L311</f>
        <v>0</v>
      </c>
      <c r="M309" s="427">
        <f ca="1">M310+M311</f>
        <v>0</v>
      </c>
      <c r="N309" s="427">
        <f ca="1">N310+N311</f>
        <v>0</v>
      </c>
      <c r="O309" s="427">
        <f ca="1">IF(L309&gt;0,N309*100/L309,0)</f>
        <v>0</v>
      </c>
      <c r="P309" s="427">
        <f ca="1">IF(M309&gt;0,N309*100/M309,0)</f>
        <v>0</v>
      </c>
    </row>
    <row r="310" spans="1:16" ht="18.75" hidden="1" x14ac:dyDescent="0.25">
      <c r="A310" s="706"/>
      <c r="B310" s="420"/>
      <c r="C310" s="420"/>
      <c r="D310" s="420"/>
      <c r="E310" s="540" t="s">
        <v>18</v>
      </c>
      <c r="F310" s="420"/>
      <c r="G310" s="424"/>
      <c r="H310" s="542" t="s">
        <v>12</v>
      </c>
      <c r="I310" s="701"/>
      <c r="J310" s="701"/>
      <c r="K310" s="700"/>
      <c r="L310" s="522">
        <v>0</v>
      </c>
      <c r="M310" s="522">
        <v>0</v>
      </c>
      <c r="N310" s="522">
        <v>0</v>
      </c>
      <c r="O310" s="522">
        <f>IF(L310&gt;0,N310*100/L310,0)</f>
        <v>0</v>
      </c>
      <c r="P310" s="522">
        <f>IF(M310&gt;0,N310*100/M310,0)</f>
        <v>0</v>
      </c>
    </row>
    <row r="311" spans="1:16" ht="18.75" hidden="1" x14ac:dyDescent="0.25">
      <c r="A311" s="706"/>
      <c r="B311" s="420"/>
      <c r="C311" s="420"/>
      <c r="D311" s="420"/>
      <c r="E311" s="295" t="s">
        <v>19</v>
      </c>
      <c r="F311" s="420"/>
      <c r="G311" s="424"/>
      <c r="H311" s="727" t="s">
        <v>12</v>
      </c>
      <c r="I311" s="701"/>
      <c r="J311" s="701"/>
      <c r="K311" s="700"/>
      <c r="L311" s="427">
        <f ca="1">IFERROR(__xludf.DUMMYFUNCTION("IMPORTRANGE(""https://docs.google.com/spreadsheets/d/1-uDff_7J0KD5mKrp0Vvzr7lt3OU09vwQwhkpOPPYv2Y/edit?usp=sharing"",""งบพรบ!EB73"")"),0)</f>
        <v>0</v>
      </c>
      <c r="M311" s="427">
        <f ca="1">IFERROR(__xludf.DUMMYFUNCTION("IMPORTRANGE(""https://docs.google.com/spreadsheets/d/1-uDff_7J0KD5mKrp0Vvzr7lt3OU09vwQwhkpOPPYv2Y/edit?usp=sharing"",""งบพรบ!EE73"")"),0)</f>
        <v>0</v>
      </c>
      <c r="N311" s="427">
        <f ca="1">IFERROR(__xludf.DUMMYFUNCTION("IMPORTRANGE(""https://docs.google.com/spreadsheets/d/1-uDff_7J0KD5mKrp0Vvzr7lt3OU09vwQwhkpOPPYv2Y/edit?usp=sharing"",""งบพรบ!EG73"")"),0)</f>
        <v>0</v>
      </c>
      <c r="O311" s="427">
        <f ca="1">IF(L311&gt;0,N311*100/L311,0)</f>
        <v>0</v>
      </c>
      <c r="P311" s="427">
        <f ca="1">IF(M311&gt;0,N311*100/M311,0)</f>
        <v>0</v>
      </c>
    </row>
    <row r="312" spans="1:16" ht="19.5" hidden="1" x14ac:dyDescent="0.3">
      <c r="A312" s="705"/>
      <c r="B312" s="432"/>
      <c r="C312" s="740" t="s">
        <v>16</v>
      </c>
      <c r="D312" s="759" t="s">
        <v>36</v>
      </c>
      <c r="E312" s="704"/>
      <c r="F312" s="704"/>
      <c r="G312" s="703"/>
      <c r="H312" s="702"/>
      <c r="I312" s="429"/>
      <c r="J312" s="429"/>
      <c r="K312" s="430"/>
      <c r="L312" s="430"/>
      <c r="M312" s="430"/>
      <c r="N312" s="430"/>
      <c r="O312" s="430"/>
      <c r="P312" s="430"/>
    </row>
    <row r="313" spans="1:16" ht="18.75" hidden="1" x14ac:dyDescent="0.25">
      <c r="A313" s="705"/>
      <c r="B313" s="432"/>
      <c r="C313" s="432"/>
      <c r="D313" s="423" t="s">
        <v>121</v>
      </c>
      <c r="E313" s="422"/>
      <c r="F313" s="422"/>
      <c r="G313" s="702"/>
      <c r="H313" s="702"/>
      <c r="I313" s="429"/>
      <c r="J313" s="758">
        <v>0</v>
      </c>
      <c r="K313" s="430"/>
      <c r="L313" s="430"/>
      <c r="M313" s="430"/>
      <c r="N313" s="430"/>
      <c r="O313" s="430"/>
      <c r="P313" s="430"/>
    </row>
    <row r="314" spans="1:16" ht="18.75" hidden="1" x14ac:dyDescent="0.25">
      <c r="A314" s="705"/>
      <c r="B314" s="432"/>
      <c r="C314" s="432"/>
      <c r="D314" s="423" t="s">
        <v>114</v>
      </c>
      <c r="E314" s="422"/>
      <c r="F314" s="422"/>
      <c r="G314" s="702"/>
      <c r="H314" s="791" t="s">
        <v>33</v>
      </c>
      <c r="I314" s="426">
        <f ca="1">IFERROR(__xludf.DUMMYFUNCTION("IMPORTRANGE(""https://docs.google.com/spreadsheets/d/1eHaY18a8A9IcSdp1K8H6x8fbOy06t2VsZHhMHf-1x7Y/edit?usp=sharing"",""แผน!EF73"")"),0)</f>
        <v>0</v>
      </c>
      <c r="J314" s="758">
        <v>0</v>
      </c>
      <c r="K314" s="427">
        <f ca="1">IF(I314&gt;0,J314*100/I314,0)</f>
        <v>0</v>
      </c>
      <c r="L314" s="430"/>
      <c r="M314" s="430"/>
      <c r="N314" s="430"/>
      <c r="O314" s="430"/>
      <c r="P314" s="430"/>
    </row>
    <row r="315" spans="1:16" ht="18.75" hidden="1" x14ac:dyDescent="0.25">
      <c r="A315" s="705"/>
      <c r="B315" s="432"/>
      <c r="C315" s="432"/>
      <c r="D315" s="423" t="s">
        <v>122</v>
      </c>
      <c r="E315" s="422"/>
      <c r="F315" s="422"/>
      <c r="G315" s="702"/>
      <c r="H315" s="791" t="s">
        <v>33</v>
      </c>
      <c r="I315" s="426">
        <f ca="1">IFERROR(__xludf.DUMMYFUNCTION("IMPORTRANGE(""https://docs.google.com/spreadsheets/d/1eHaY18a8A9IcSdp1K8H6x8fbOy06t2VsZHhMHf-1x7Y/edit?usp=sharing"",""แผน!EG73"")"),0)</f>
        <v>0</v>
      </c>
      <c r="J315" s="758">
        <v>0</v>
      </c>
      <c r="K315" s="427">
        <f ca="1">IF(I315&gt;0,J315*100/I315,0)</f>
        <v>0</v>
      </c>
      <c r="L315" s="430"/>
      <c r="M315" s="430"/>
      <c r="N315" s="430"/>
      <c r="O315" s="430"/>
      <c r="P315" s="430"/>
    </row>
    <row r="316" spans="1:16" ht="18.75" hidden="1" x14ac:dyDescent="0.25">
      <c r="A316" s="705"/>
      <c r="B316" s="432"/>
      <c r="C316" s="432"/>
      <c r="D316" s="423" t="s">
        <v>48</v>
      </c>
      <c r="E316" s="422"/>
      <c r="F316" s="422"/>
      <c r="G316" s="702"/>
      <c r="H316" s="791" t="s">
        <v>33</v>
      </c>
      <c r="I316" s="426">
        <f ca="1">IFERROR(__xludf.DUMMYFUNCTION("IMPORTRANGE(""https://docs.google.com/spreadsheets/d/1eHaY18a8A9IcSdp1K8H6x8fbOy06t2VsZHhMHf-1x7Y/edit?usp=sharing"",""แผน!EH73"")"),0)</f>
        <v>0</v>
      </c>
      <c r="J316" s="758">
        <v>0</v>
      </c>
      <c r="K316" s="427">
        <f ca="1">IF(I316&gt;0,J316*100/I316,0)</f>
        <v>0</v>
      </c>
      <c r="L316" s="430"/>
      <c r="M316" s="430"/>
      <c r="N316" s="430"/>
      <c r="O316" s="430"/>
      <c r="P316" s="430"/>
    </row>
    <row r="317" spans="1:16" ht="18.75" hidden="1" x14ac:dyDescent="0.25">
      <c r="A317" s="419"/>
      <c r="B317" s="421"/>
      <c r="C317" s="421"/>
      <c r="D317" s="540" t="s">
        <v>123</v>
      </c>
      <c r="E317" s="420"/>
      <c r="F317" s="420"/>
      <c r="G317" s="424"/>
      <c r="H317" s="579" t="s">
        <v>33</v>
      </c>
      <c r="I317" s="201">
        <f ca="1">IFERROR(__xludf.DUMMYFUNCTION("IMPORTRANGE(""https://docs.google.com/spreadsheets/d/1eHaY18a8A9IcSdp1K8H6x8fbOy06t2VsZHhMHf-1x7Y/edit?usp=sharing"",""แผน!EI73"")"),0)</f>
        <v>0</v>
      </c>
      <c r="J317" s="201">
        <v>0</v>
      </c>
      <c r="K317" s="522">
        <f ca="1">IF(I317&gt;0,J317*100/I317,0)</f>
        <v>0</v>
      </c>
      <c r="L317" s="430"/>
      <c r="M317" s="430"/>
      <c r="N317" s="430"/>
      <c r="O317" s="430"/>
      <c r="P317" s="430"/>
    </row>
    <row r="318" spans="1:16" ht="19.5" hidden="1" x14ac:dyDescent="0.3">
      <c r="A318" s="757" t="s">
        <v>124</v>
      </c>
      <c r="B318" s="755"/>
      <c r="C318" s="755"/>
      <c r="D318" s="756"/>
      <c r="E318" s="755"/>
      <c r="F318" s="755"/>
      <c r="G318" s="755"/>
      <c r="H318" s="756"/>
      <c r="I318" s="754"/>
      <c r="J318" s="754"/>
      <c r="K318" s="753"/>
      <c r="L318" s="753"/>
      <c r="M318" s="753"/>
      <c r="N318" s="753"/>
      <c r="O318" s="753"/>
      <c r="P318" s="753"/>
    </row>
    <row r="319" spans="1:16" ht="19.5" hidden="1" x14ac:dyDescent="0.3">
      <c r="A319" s="763"/>
      <c r="B319" s="747" t="s">
        <v>125</v>
      </c>
      <c r="C319" s="762"/>
      <c r="D319" s="746"/>
      <c r="E319" s="745"/>
      <c r="F319" s="745"/>
      <c r="G319" s="744"/>
      <c r="H319" s="1006" t="s">
        <v>126</v>
      </c>
      <c r="I319" s="761">
        <f ca="1">I330</f>
        <v>0</v>
      </c>
      <c r="J319" s="761">
        <f>J330</f>
        <v>0</v>
      </c>
      <c r="K319" s="760">
        <f ca="1">IF(I319&gt;0,J319*100/I319,0)</f>
        <v>0</v>
      </c>
      <c r="L319" s="741"/>
      <c r="M319" s="741"/>
      <c r="N319" s="741"/>
      <c r="O319" s="741"/>
      <c r="P319" s="741"/>
    </row>
    <row r="320" spans="1:16" ht="19.5" hidden="1" x14ac:dyDescent="0.3">
      <c r="A320" s="706"/>
      <c r="B320" s="420"/>
      <c r="C320" s="740" t="s">
        <v>16</v>
      </c>
      <c r="D320" s="739" t="s">
        <v>17</v>
      </c>
      <c r="E320" s="420"/>
      <c r="F320" s="420"/>
      <c r="G320" s="424"/>
      <c r="H320" s="738" t="s">
        <v>12</v>
      </c>
      <c r="I320" s="429"/>
      <c r="J320" s="429"/>
      <c r="K320" s="430"/>
      <c r="L320" s="737">
        <f ca="1">L321+L322</f>
        <v>0</v>
      </c>
      <c r="M320" s="737">
        <f ca="1">M321+M322</f>
        <v>0</v>
      </c>
      <c r="N320" s="737">
        <f ca="1">N321+N322</f>
        <v>0</v>
      </c>
      <c r="O320" s="737">
        <f ca="1">IF(L320&gt;0,N320*100/L320,0)</f>
        <v>0</v>
      </c>
      <c r="P320" s="737">
        <f ca="1">IF(M320&gt;0,N320*100/M320,0)</f>
        <v>0</v>
      </c>
    </row>
    <row r="321" spans="1:16" ht="18.75" hidden="1" x14ac:dyDescent="0.25">
      <c r="A321" s="706"/>
      <c r="B321" s="420"/>
      <c r="C321" s="420"/>
      <c r="D321" s="420"/>
      <c r="E321" s="540" t="s">
        <v>18</v>
      </c>
      <c r="F321" s="420"/>
      <c r="G321" s="424"/>
      <c r="H321" s="544" t="s">
        <v>12</v>
      </c>
      <c r="I321" s="429"/>
      <c r="J321" s="429"/>
      <c r="K321" s="430"/>
      <c r="L321" s="522">
        <f>L324+L327</f>
        <v>0</v>
      </c>
      <c r="M321" s="522">
        <f>M324+M327</f>
        <v>0</v>
      </c>
      <c r="N321" s="522">
        <f>N324+N327</f>
        <v>0</v>
      </c>
      <c r="O321" s="522">
        <f>IF(L321&gt;0,N321*100/L321,0)</f>
        <v>0</v>
      </c>
      <c r="P321" s="522">
        <f>IF(M321&gt;0,N321*100/M321,0)</f>
        <v>0</v>
      </c>
    </row>
    <row r="322" spans="1:16" ht="18.75" hidden="1" x14ac:dyDescent="0.25">
      <c r="A322" s="706"/>
      <c r="B322" s="420"/>
      <c r="C322" s="420"/>
      <c r="D322" s="420"/>
      <c r="E322" s="295" t="s">
        <v>19</v>
      </c>
      <c r="F322" s="420"/>
      <c r="G322" s="424"/>
      <c r="H322" s="442" t="s">
        <v>12</v>
      </c>
      <c r="I322" s="429"/>
      <c r="J322" s="429"/>
      <c r="K322" s="430"/>
      <c r="L322" s="427">
        <f ca="1">L325+L328</f>
        <v>0</v>
      </c>
      <c r="M322" s="427">
        <f ca="1">M325+M328</f>
        <v>0</v>
      </c>
      <c r="N322" s="427">
        <f ca="1">N325+N328</f>
        <v>0</v>
      </c>
      <c r="O322" s="427">
        <f ca="1">IF(L322&gt;0,N322*100/L322,0)</f>
        <v>0</v>
      </c>
      <c r="P322" s="427">
        <f ca="1">IF(M322&gt;0,N322*100/M322,0)</f>
        <v>0</v>
      </c>
    </row>
    <row r="323" spans="1:16" ht="18.75" hidden="1" x14ac:dyDescent="0.25">
      <c r="A323" s="706"/>
      <c r="B323" s="420"/>
      <c r="C323" s="420"/>
      <c r="D323" s="735" t="s">
        <v>20</v>
      </c>
      <c r="E323" s="420"/>
      <c r="F323" s="420"/>
      <c r="G323" s="424"/>
      <c r="H323" s="736" t="s">
        <v>12</v>
      </c>
      <c r="I323" s="701"/>
      <c r="J323" s="701"/>
      <c r="K323" s="700"/>
      <c r="L323" s="427">
        <f ca="1">L324+L325</f>
        <v>0</v>
      </c>
      <c r="M323" s="427">
        <f ca="1">M324+M325</f>
        <v>0</v>
      </c>
      <c r="N323" s="427">
        <f ca="1">N324+N325</f>
        <v>0</v>
      </c>
      <c r="O323" s="427">
        <f ca="1">IF(L323&gt;0,N323*100/L323,0)</f>
        <v>0</v>
      </c>
      <c r="P323" s="427">
        <f ca="1">IF(M323&gt;0,N323*100/M323,0)</f>
        <v>0</v>
      </c>
    </row>
    <row r="324" spans="1:16" ht="18.75" hidden="1" x14ac:dyDescent="0.25">
      <c r="A324" s="706"/>
      <c r="B324" s="420"/>
      <c r="C324" s="420"/>
      <c r="D324" s="420"/>
      <c r="E324" s="540" t="s">
        <v>34</v>
      </c>
      <c r="F324" s="420"/>
      <c r="G324" s="424"/>
      <c r="H324" s="542" t="s">
        <v>12</v>
      </c>
      <c r="I324" s="701"/>
      <c r="J324" s="701"/>
      <c r="K324" s="700"/>
      <c r="L324" s="522">
        <v>0</v>
      </c>
      <c r="M324" s="522">
        <v>0</v>
      </c>
      <c r="N324" s="522">
        <v>0</v>
      </c>
      <c r="O324" s="522">
        <f>IF(L324&gt;0,N324*100/L324,0)</f>
        <v>0</v>
      </c>
      <c r="P324" s="522">
        <f>IF(M324&gt;0,N324*100/M324,0)</f>
        <v>0</v>
      </c>
    </row>
    <row r="325" spans="1:16" ht="18.75" hidden="1" x14ac:dyDescent="0.25">
      <c r="A325" s="706"/>
      <c r="B325" s="420"/>
      <c r="C325" s="420"/>
      <c r="D325" s="420"/>
      <c r="E325" s="295" t="s">
        <v>35</v>
      </c>
      <c r="F325" s="420"/>
      <c r="G325" s="424"/>
      <c r="H325" s="736" t="s">
        <v>12</v>
      </c>
      <c r="I325" s="701"/>
      <c r="J325" s="701"/>
      <c r="K325" s="700"/>
      <c r="L325" s="427">
        <f ca="1">IFERROR(__xludf.DUMMYFUNCTION("IMPORTRANGE(""https://docs.google.com/spreadsheets/d/1-uDff_7J0KD5mKrp0Vvzr7lt3OU09vwQwhkpOPPYv2Y/edit?usp=sharing"",""งบพรบ!EI73"")"),0)</f>
        <v>0</v>
      </c>
      <c r="M325" s="427">
        <f ca="1">IFERROR(__xludf.DUMMYFUNCTION("IMPORTRANGE(""https://docs.google.com/spreadsheets/d/1-uDff_7J0KD5mKrp0Vvzr7lt3OU09vwQwhkpOPPYv2Y/edit?usp=sharing"",""งบพรบ!EN73"")"),0)</f>
        <v>0</v>
      </c>
      <c r="N325" s="427">
        <f ca="1">IFERROR(__xludf.DUMMYFUNCTION("IMPORTRANGE(""https://docs.google.com/spreadsheets/d/1-uDff_7J0KD5mKrp0Vvzr7lt3OU09vwQwhkpOPPYv2Y/edit?usp=sharing"",""งบพรบ!EP73"")"),0)</f>
        <v>0</v>
      </c>
      <c r="O325" s="427">
        <f ca="1">IF(L325&gt;0,N325*100/L325,0)</f>
        <v>0</v>
      </c>
      <c r="P325" s="427">
        <f ca="1">IF(M325&gt;0,N325*100/M325,0)</f>
        <v>0</v>
      </c>
    </row>
    <row r="326" spans="1:16" ht="18.75" hidden="1" x14ac:dyDescent="0.25">
      <c r="A326" s="706"/>
      <c r="B326" s="420"/>
      <c r="C326" s="420"/>
      <c r="D326" s="735" t="s">
        <v>21</v>
      </c>
      <c r="E326" s="420"/>
      <c r="F326" s="420"/>
      <c r="G326" s="424"/>
      <c r="H326" s="727" t="s">
        <v>12</v>
      </c>
      <c r="I326" s="701"/>
      <c r="J326" s="701"/>
      <c r="K326" s="700"/>
      <c r="L326" s="427">
        <f ca="1">L327+L328</f>
        <v>0</v>
      </c>
      <c r="M326" s="427">
        <f ca="1">M327+M328</f>
        <v>0</v>
      </c>
      <c r="N326" s="427">
        <f ca="1">N327+N328</f>
        <v>0</v>
      </c>
      <c r="O326" s="427">
        <f ca="1">IF(L326&gt;0,N326*100/L326,0)</f>
        <v>0</v>
      </c>
      <c r="P326" s="427">
        <f ca="1">IF(M326&gt;0,N326*100/M326,0)</f>
        <v>0</v>
      </c>
    </row>
    <row r="327" spans="1:16" ht="18.75" hidden="1" x14ac:dyDescent="0.25">
      <c r="A327" s="706"/>
      <c r="B327" s="420"/>
      <c r="C327" s="420"/>
      <c r="D327" s="420"/>
      <c r="E327" s="540" t="s">
        <v>18</v>
      </c>
      <c r="F327" s="420"/>
      <c r="G327" s="424"/>
      <c r="H327" s="542" t="s">
        <v>12</v>
      </c>
      <c r="I327" s="701"/>
      <c r="J327" s="701"/>
      <c r="K327" s="700"/>
      <c r="L327" s="522">
        <v>0</v>
      </c>
      <c r="M327" s="522">
        <v>0</v>
      </c>
      <c r="N327" s="522">
        <v>0</v>
      </c>
      <c r="O327" s="522">
        <f>IF(L327&gt;0,N327*100/L327,0)</f>
        <v>0</v>
      </c>
      <c r="P327" s="522">
        <f>IF(M327&gt;0,N327*100/M327,0)</f>
        <v>0</v>
      </c>
    </row>
    <row r="328" spans="1:16" ht="18.75" hidden="1" x14ac:dyDescent="0.25">
      <c r="A328" s="706"/>
      <c r="B328" s="420"/>
      <c r="C328" s="420"/>
      <c r="D328" s="420"/>
      <c r="E328" s="295" t="s">
        <v>19</v>
      </c>
      <c r="F328" s="420"/>
      <c r="G328" s="424"/>
      <c r="H328" s="727" t="s">
        <v>12</v>
      </c>
      <c r="I328" s="701"/>
      <c r="J328" s="701"/>
      <c r="K328" s="700"/>
      <c r="L328" s="427">
        <f ca="1">IFERROR(__xludf.DUMMYFUNCTION("IMPORTRANGE(""https://docs.google.com/spreadsheets/d/1-uDff_7J0KD5mKrp0Vvzr7lt3OU09vwQwhkpOPPYv2Y/edit?usp=sharing"",""งบพรบ!EL73"")"),0)</f>
        <v>0</v>
      </c>
      <c r="M328" s="427">
        <f ca="1">IFERROR(__xludf.DUMMYFUNCTION("IMPORTRANGE(""https://docs.google.com/spreadsheets/d/1-uDff_7J0KD5mKrp0Vvzr7lt3OU09vwQwhkpOPPYv2Y/edit?usp=sharing"",""งบพรบ!EO73"")"),0)</f>
        <v>0</v>
      </c>
      <c r="N328" s="427">
        <f ca="1">IFERROR(__xludf.DUMMYFUNCTION("IMPORTRANGE(""https://docs.google.com/spreadsheets/d/1-uDff_7J0KD5mKrp0Vvzr7lt3OU09vwQwhkpOPPYv2Y/edit?usp=sharing"",""งบพรบ!EQ73"")"),0)</f>
        <v>0</v>
      </c>
      <c r="O328" s="427">
        <f ca="1">IF(L328&gt;0,N328*100/L328,0)</f>
        <v>0</v>
      </c>
      <c r="P328" s="427">
        <f ca="1">IF(M328&gt;0,N328*100/M328,0)</f>
        <v>0</v>
      </c>
    </row>
    <row r="329" spans="1:16" ht="19.5" hidden="1" x14ac:dyDescent="0.3">
      <c r="A329" s="705"/>
      <c r="B329" s="432"/>
      <c r="C329" s="740" t="s">
        <v>16</v>
      </c>
      <c r="D329" s="759" t="s">
        <v>36</v>
      </c>
      <c r="E329" s="704"/>
      <c r="F329" s="704"/>
      <c r="G329" s="703"/>
      <c r="H329" s="702"/>
      <c r="I329" s="701"/>
      <c r="J329" s="429"/>
      <c r="K329" s="430"/>
      <c r="L329" s="430"/>
      <c r="M329" s="430"/>
      <c r="N329" s="430"/>
      <c r="O329" s="700"/>
      <c r="P329" s="700"/>
    </row>
    <row r="330" spans="1:16" ht="18.75" hidden="1" x14ac:dyDescent="0.25">
      <c r="A330" s="705"/>
      <c r="B330" s="432"/>
      <c r="C330" s="432"/>
      <c r="D330" s="728" t="s">
        <v>127</v>
      </c>
      <c r="E330" s="422"/>
      <c r="F330" s="422"/>
      <c r="G330" s="702"/>
      <c r="H330" s="847" t="s">
        <v>126</v>
      </c>
      <c r="I330" s="426">
        <f ca="1">IFERROR(__xludf.DUMMYFUNCTION("IMPORTRANGE(""https://docs.google.com/spreadsheets/d/1eHaY18a8A9IcSdp1K8H6x8fbOy06t2VsZHhMHf-1x7Y/edit?usp=sharing"",""แผน!EJ73"")"),0)</f>
        <v>0</v>
      </c>
      <c r="J330" s="758">
        <v>0</v>
      </c>
      <c r="K330" s="427">
        <f ca="1">IF(I330&gt;0,J330*100/I330,0)</f>
        <v>0</v>
      </c>
      <c r="L330" s="430"/>
      <c r="M330" s="430"/>
      <c r="N330" s="430"/>
      <c r="O330" s="700"/>
      <c r="P330" s="700"/>
    </row>
    <row r="331" spans="1:16" ht="19.5" x14ac:dyDescent="0.3">
      <c r="A331" s="757" t="s">
        <v>128</v>
      </c>
      <c r="B331" s="755"/>
      <c r="C331" s="755"/>
      <c r="D331" s="756"/>
      <c r="E331" s="755"/>
      <c r="F331" s="755"/>
      <c r="G331" s="755"/>
      <c r="H331" s="756"/>
      <c r="I331" s="754"/>
      <c r="J331" s="754"/>
      <c r="K331" s="753"/>
      <c r="L331" s="753"/>
      <c r="M331" s="753"/>
      <c r="N331" s="753"/>
      <c r="O331" s="753"/>
      <c r="P331" s="753"/>
    </row>
    <row r="332" spans="1:16" ht="19.5" x14ac:dyDescent="0.3">
      <c r="A332" s="748"/>
      <c r="B332" s="747" t="s">
        <v>129</v>
      </c>
      <c r="C332" s="746"/>
      <c r="D332" s="745"/>
      <c r="E332" s="745"/>
      <c r="F332" s="745"/>
      <c r="G332" s="744"/>
      <c r="H332" s="1006" t="s">
        <v>33</v>
      </c>
      <c r="I332" s="403">
        <f ca="1">I344</f>
        <v>40</v>
      </c>
      <c r="J332" s="404">
        <f ca="1">J344+J347+J348+J349+J353</f>
        <v>43</v>
      </c>
      <c r="K332" s="405">
        <f ca="1">IF(I332&gt;0,J332*100/I332,0)</f>
        <v>107.5</v>
      </c>
      <c r="L332" s="741"/>
      <c r="M332" s="741"/>
      <c r="N332" s="741"/>
      <c r="O332" s="741"/>
      <c r="P332" s="741"/>
    </row>
    <row r="333" spans="1:16" ht="19.5" x14ac:dyDescent="0.3">
      <c r="A333" s="706"/>
      <c r="B333" s="420"/>
      <c r="C333" s="740" t="s">
        <v>16</v>
      </c>
      <c r="D333" s="739" t="s">
        <v>17</v>
      </c>
      <c r="E333" s="420"/>
      <c r="F333" s="420"/>
      <c r="G333" s="424"/>
      <c r="H333" s="738" t="s">
        <v>12</v>
      </c>
      <c r="I333" s="429"/>
      <c r="J333" s="429"/>
      <c r="K333" s="430"/>
      <c r="L333" s="737">
        <f ca="1">L334+L335</f>
        <v>213600</v>
      </c>
      <c r="M333" s="737">
        <f ca="1">M334+M335</f>
        <v>155950</v>
      </c>
      <c r="N333" s="737">
        <f ca="1">N334+N335</f>
        <v>52366</v>
      </c>
      <c r="O333" s="737">
        <f ca="1">IF(L333&gt;0,N333*100/L333,0)</f>
        <v>24.515917602996254</v>
      </c>
      <c r="P333" s="737">
        <f ca="1">IF(M333&gt;0,N333*100/M333,0)</f>
        <v>33.578711125360691</v>
      </c>
    </row>
    <row r="334" spans="1:16" ht="18.75" hidden="1" x14ac:dyDescent="0.25">
      <c r="A334" s="706"/>
      <c r="B334" s="420"/>
      <c r="C334" s="420"/>
      <c r="D334" s="420"/>
      <c r="E334" s="540" t="s">
        <v>18</v>
      </c>
      <c r="F334" s="420"/>
      <c r="G334" s="424"/>
      <c r="H334" s="544" t="s">
        <v>12</v>
      </c>
      <c r="I334" s="429"/>
      <c r="J334" s="429"/>
      <c r="K334" s="430"/>
      <c r="L334" s="522">
        <f>L337+L340</f>
        <v>0</v>
      </c>
      <c r="M334" s="522">
        <f>M337+M340</f>
        <v>0</v>
      </c>
      <c r="N334" s="522">
        <f>N337+N340</f>
        <v>0</v>
      </c>
      <c r="O334" s="522">
        <f>IF(L334&gt;0,N334*100/L334,0)</f>
        <v>0</v>
      </c>
      <c r="P334" s="522">
        <f>IF(M334&gt;0,N334*100/M334,0)</f>
        <v>0</v>
      </c>
    </row>
    <row r="335" spans="1:16" ht="18.75" x14ac:dyDescent="0.25">
      <c r="A335" s="706"/>
      <c r="B335" s="420"/>
      <c r="C335" s="420"/>
      <c r="D335" s="420"/>
      <c r="E335" s="295" t="s">
        <v>19</v>
      </c>
      <c r="F335" s="420"/>
      <c r="G335" s="424"/>
      <c r="H335" s="442" t="s">
        <v>12</v>
      </c>
      <c r="I335" s="429"/>
      <c r="J335" s="429"/>
      <c r="K335" s="430"/>
      <c r="L335" s="427">
        <f ca="1">L338+L341</f>
        <v>213600</v>
      </c>
      <c r="M335" s="427">
        <f ca="1">M338+M341</f>
        <v>155950</v>
      </c>
      <c r="N335" s="427">
        <f ca="1">N338+N341</f>
        <v>52366</v>
      </c>
      <c r="O335" s="427">
        <f ca="1">IF(L335&gt;0,N335*100/L335,0)</f>
        <v>24.515917602996254</v>
      </c>
      <c r="P335" s="427">
        <f ca="1">IF(M335&gt;0,N335*100/M335,0)</f>
        <v>33.578711125360691</v>
      </c>
    </row>
    <row r="336" spans="1:16" ht="18.75" x14ac:dyDescent="0.25">
      <c r="A336" s="706"/>
      <c r="B336" s="420"/>
      <c r="C336" s="420"/>
      <c r="D336" s="735" t="s">
        <v>20</v>
      </c>
      <c r="E336" s="420"/>
      <c r="F336" s="420"/>
      <c r="G336" s="424"/>
      <c r="H336" s="736" t="s">
        <v>12</v>
      </c>
      <c r="I336" s="701"/>
      <c r="J336" s="701"/>
      <c r="K336" s="700"/>
      <c r="L336" s="427">
        <f ca="1">L337+L338</f>
        <v>213600</v>
      </c>
      <c r="M336" s="427">
        <f ca="1">M337+M338</f>
        <v>155950</v>
      </c>
      <c r="N336" s="427">
        <f ca="1">N337+N338</f>
        <v>52366</v>
      </c>
      <c r="O336" s="427">
        <f ca="1">IF(L336&gt;0,N336*100/L336,0)</f>
        <v>24.515917602996254</v>
      </c>
      <c r="P336" s="427">
        <f ca="1">IF(M336&gt;0,N336*100/M336,0)</f>
        <v>33.578711125360691</v>
      </c>
    </row>
    <row r="337" spans="1:16" ht="18.75" hidden="1" x14ac:dyDescent="0.25">
      <c r="A337" s="706"/>
      <c r="B337" s="420"/>
      <c r="C337" s="420"/>
      <c r="D337" s="420"/>
      <c r="E337" s="540" t="s">
        <v>34</v>
      </c>
      <c r="F337" s="420"/>
      <c r="G337" s="424"/>
      <c r="H337" s="542" t="s">
        <v>12</v>
      </c>
      <c r="I337" s="701"/>
      <c r="J337" s="701"/>
      <c r="K337" s="700"/>
      <c r="L337" s="522">
        <v>0</v>
      </c>
      <c r="M337" s="522">
        <v>0</v>
      </c>
      <c r="N337" s="522">
        <v>0</v>
      </c>
      <c r="O337" s="522">
        <f>IF(L337&gt;0,N337*100/L337,0)</f>
        <v>0</v>
      </c>
      <c r="P337" s="522">
        <f>IF(M337&gt;0,N337*100/M337,0)</f>
        <v>0</v>
      </c>
    </row>
    <row r="338" spans="1:16" ht="18.75" x14ac:dyDescent="0.25">
      <c r="A338" s="706"/>
      <c r="B338" s="420"/>
      <c r="C338" s="420"/>
      <c r="D338" s="420"/>
      <c r="E338" s="295" t="s">
        <v>35</v>
      </c>
      <c r="F338" s="420"/>
      <c r="G338" s="424"/>
      <c r="H338" s="736" t="s">
        <v>12</v>
      </c>
      <c r="I338" s="701"/>
      <c r="J338" s="701"/>
      <c r="K338" s="700"/>
      <c r="L338" s="427">
        <f ca="1">IFERROR(__xludf.DUMMYFUNCTION("IMPORTRANGE(""https://docs.google.com/spreadsheets/d/1-uDff_7J0KD5mKrp0Vvzr7lt3OU09vwQwhkpOPPYv2Y/edit?usp=sharing"",""งบพรบ!ES73"")"),213600)</f>
        <v>213600</v>
      </c>
      <c r="M338" s="427">
        <f ca="1">IFERROR(__xludf.DUMMYFUNCTION("IMPORTRANGE(""https://docs.google.com/spreadsheets/d/1-uDff_7J0KD5mKrp0Vvzr7lt3OU09vwQwhkpOPPYv2Y/edit?usp=sharing"",""งบพรบ!EX73"")"),155950)</f>
        <v>155950</v>
      </c>
      <c r="N338" s="427">
        <f ca="1">IFERROR(__xludf.DUMMYFUNCTION("IMPORTRANGE(""https://docs.google.com/spreadsheets/d/1-uDff_7J0KD5mKrp0Vvzr7lt3OU09vwQwhkpOPPYv2Y/edit?usp=sharing"",""งบพรบ!EZ73"")"),52366)</f>
        <v>52366</v>
      </c>
      <c r="O338" s="427">
        <f ca="1">IF(L338&gt;0,N338*100/L338,0)</f>
        <v>24.515917602996254</v>
      </c>
      <c r="P338" s="427">
        <f ca="1">IF(M338&gt;0,N338*100/M338,0)</f>
        <v>33.578711125360691</v>
      </c>
    </row>
    <row r="339" spans="1:16" ht="18.75" x14ac:dyDescent="0.25">
      <c r="A339" s="706"/>
      <c r="B339" s="420"/>
      <c r="C339" s="420"/>
      <c r="D339" s="735" t="s">
        <v>21</v>
      </c>
      <c r="E339" s="420"/>
      <c r="F339" s="420"/>
      <c r="G339" s="424"/>
      <c r="H339" s="727" t="s">
        <v>12</v>
      </c>
      <c r="I339" s="701"/>
      <c r="J339" s="701"/>
      <c r="K339" s="700"/>
      <c r="L339" s="427">
        <f ca="1">L340+L341</f>
        <v>0</v>
      </c>
      <c r="M339" s="427">
        <f ca="1">M340+M341</f>
        <v>0</v>
      </c>
      <c r="N339" s="427">
        <f ca="1">N340+N341</f>
        <v>0</v>
      </c>
      <c r="O339" s="427">
        <f ca="1">IF(L339&gt;0,N339*100/L339,0)</f>
        <v>0</v>
      </c>
      <c r="P339" s="427">
        <f ca="1">IF(M339&gt;0,N339*100/M339,0)</f>
        <v>0</v>
      </c>
    </row>
    <row r="340" spans="1:16" ht="18.75" hidden="1" x14ac:dyDescent="0.25">
      <c r="A340" s="706"/>
      <c r="B340" s="420"/>
      <c r="C340" s="420"/>
      <c r="D340" s="420"/>
      <c r="E340" s="540" t="s">
        <v>18</v>
      </c>
      <c r="F340" s="420"/>
      <c r="G340" s="424"/>
      <c r="H340" s="542" t="s">
        <v>12</v>
      </c>
      <c r="I340" s="701"/>
      <c r="J340" s="701"/>
      <c r="K340" s="700"/>
      <c r="L340" s="522">
        <v>0</v>
      </c>
      <c r="M340" s="522">
        <v>0</v>
      </c>
      <c r="N340" s="522">
        <v>0</v>
      </c>
      <c r="O340" s="522">
        <f>IF(L340&gt;0,N340*100/L340,0)</f>
        <v>0</v>
      </c>
      <c r="P340" s="522">
        <f>IF(M340&gt;0,N340*100/M340,0)</f>
        <v>0</v>
      </c>
    </row>
    <row r="341" spans="1:16" ht="18.75" x14ac:dyDescent="0.25">
      <c r="A341" s="706"/>
      <c r="B341" s="420"/>
      <c r="C341" s="420"/>
      <c r="D341" s="420"/>
      <c r="E341" s="295" t="s">
        <v>19</v>
      </c>
      <c r="F341" s="420"/>
      <c r="G341" s="424"/>
      <c r="H341" s="727" t="s">
        <v>12</v>
      </c>
      <c r="I341" s="701"/>
      <c r="J341" s="701"/>
      <c r="K341" s="700"/>
      <c r="L341" s="427">
        <f ca="1">IFERROR(__xludf.DUMMYFUNCTION("IMPORTRANGE(""https://docs.google.com/spreadsheets/d/1-uDff_7J0KD5mKrp0Vvzr7lt3OU09vwQwhkpOPPYv2Y/edit?usp=sharing"",""งบพรบ!EV73"")"),0)</f>
        <v>0</v>
      </c>
      <c r="M341" s="427">
        <f ca="1">IFERROR(__xludf.DUMMYFUNCTION("IMPORTRANGE(""https://docs.google.com/spreadsheets/d/1-uDff_7J0KD5mKrp0Vvzr7lt3OU09vwQwhkpOPPYv2Y/edit?usp=sharing"",""งบพรบ!EY73"")"),0)</f>
        <v>0</v>
      </c>
      <c r="N341" s="427">
        <f ca="1">IFERROR(__xludf.DUMMYFUNCTION("IMPORTRANGE(""https://docs.google.com/spreadsheets/d/1-uDff_7J0KD5mKrp0Vvzr7lt3OU09vwQwhkpOPPYv2Y/edit?usp=sharing"",""งบพรบ!FA73"")"),0)</f>
        <v>0</v>
      </c>
      <c r="O341" s="427">
        <f ca="1">IF(L341&gt;0,N341*100/L341,0)</f>
        <v>0</v>
      </c>
      <c r="P341" s="427">
        <f ca="1">IF(M341&gt;0,N341*100/M341,0)</f>
        <v>0</v>
      </c>
    </row>
    <row r="342" spans="1:16" ht="19.5" x14ac:dyDescent="0.3">
      <c r="A342" s="705"/>
      <c r="B342" s="432"/>
      <c r="C342" s="740" t="s">
        <v>16</v>
      </c>
      <c r="D342" s="750" t="s">
        <v>36</v>
      </c>
      <c r="E342" s="704"/>
      <c r="F342" s="704"/>
      <c r="G342" s="703"/>
      <c r="H342" s="424"/>
      <c r="I342" s="429"/>
      <c r="J342" s="429"/>
      <c r="K342" s="430"/>
      <c r="L342" s="430"/>
      <c r="M342" s="430"/>
      <c r="N342" s="430"/>
      <c r="O342" s="700"/>
      <c r="P342" s="700"/>
    </row>
    <row r="343" spans="1:16" ht="19.5" x14ac:dyDescent="0.3">
      <c r="A343" s="410"/>
      <c r="B343" s="411"/>
      <c r="C343" s="412"/>
      <c r="D343" s="411"/>
      <c r="E343" s="413" t="s">
        <v>130</v>
      </c>
      <c r="F343" s="411"/>
      <c r="G343" s="414"/>
      <c r="H343" s="415" t="s">
        <v>33</v>
      </c>
      <c r="I343" s="416">
        <v>0</v>
      </c>
      <c r="J343" s="416">
        <f ca="1">J344+J347+J348+J349</f>
        <v>43</v>
      </c>
      <c r="K343" s="417">
        <v>0</v>
      </c>
      <c r="L343" s="577"/>
      <c r="M343" s="577"/>
      <c r="N343" s="577"/>
      <c r="O343" s="577"/>
      <c r="P343" s="577"/>
    </row>
    <row r="344" spans="1:16" ht="18.75" x14ac:dyDescent="0.25">
      <c r="A344" s="419"/>
      <c r="B344" s="420"/>
      <c r="C344" s="421"/>
      <c r="D344" s="422"/>
      <c r="E344" s="423" t="s">
        <v>131</v>
      </c>
      <c r="F344" s="420"/>
      <c r="G344" s="424"/>
      <c r="H344" s="425" t="s">
        <v>33</v>
      </c>
      <c r="I344" s="426">
        <f ca="1">IFERROR(__xludf.DUMMYFUNCTION("IMPORTRANGE(""https://docs.google.com/spreadsheets/d/1eHaY18a8A9IcSdp1K8H6x8fbOy06t2VsZHhMHf-1x7Y/edit?usp=sharing"",""แผน!EK73"")"),40)</f>
        <v>40</v>
      </c>
      <c r="J344" s="426">
        <f ca="1">IFERROR(__xludf.DUMMYFUNCTION("IMPORTRANGE(""https://docs.google.com/spreadsheets/d/1awYsYK3VOup2i3Pq_Yjnu8DRu_mYwSBnCR2QPthd0rU/edit?usp=sharing"",""ศูนย์ยกเว้นโฉนด!D73"")"),19)</f>
        <v>19</v>
      </c>
      <c r="K344" s="427">
        <f ca="1">IF(I344&gt;0,J344*100/I344,0)</f>
        <v>47.5</v>
      </c>
      <c r="L344" s="430"/>
      <c r="M344" s="430"/>
      <c r="N344" s="430"/>
      <c r="O344" s="430"/>
      <c r="P344" s="430"/>
    </row>
    <row r="345" spans="1:16" ht="18.75" x14ac:dyDescent="0.25">
      <c r="A345" s="419"/>
      <c r="B345" s="420"/>
      <c r="C345" s="421"/>
      <c r="D345" s="422"/>
      <c r="E345" s="423" t="s">
        <v>132</v>
      </c>
      <c r="F345" s="420"/>
      <c r="G345" s="424"/>
      <c r="H345" s="428"/>
      <c r="I345" s="429"/>
      <c r="J345" s="429"/>
      <c r="K345" s="430"/>
      <c r="L345" s="430"/>
      <c r="M345" s="430"/>
      <c r="N345" s="430"/>
      <c r="O345" s="430"/>
      <c r="P345" s="430"/>
    </row>
    <row r="346" spans="1:16" ht="18.75" x14ac:dyDescent="0.25">
      <c r="A346" s="419"/>
      <c r="B346" s="420"/>
      <c r="C346" s="421"/>
      <c r="D346" s="422"/>
      <c r="E346" s="422"/>
      <c r="F346" s="423" t="s">
        <v>133</v>
      </c>
      <c r="G346" s="424"/>
      <c r="H346" s="431" t="s">
        <v>134</v>
      </c>
      <c r="I346" s="426">
        <f ca="1">IFERROR(__xludf.DUMMYFUNCTION("IMPORTRANGE(""https://docs.google.com/spreadsheets/d/1eHaY18a8A9IcSdp1K8H6x8fbOy06t2VsZHhMHf-1x7Y/edit?usp=sharing"",""แผน!EL73"")"),1)</f>
        <v>1</v>
      </c>
      <c r="J346" s="426">
        <f ca="1">IFERROR(__xludf.DUMMYFUNCTION("IMPORTRANGE(""https://docs.google.com/spreadsheets/d/1awYsYK3VOup2i3Pq_Yjnu8DRu_mYwSBnCR2QPthd0rU/edit?usp=sharing"",""ศูนย์รวม!E73"")"),1)</f>
        <v>1</v>
      </c>
      <c r="K346" s="427">
        <f ca="1">IF(I346&gt;0,J346*100/I346,0)</f>
        <v>100</v>
      </c>
      <c r="L346" s="430"/>
      <c r="M346" s="430"/>
      <c r="N346" s="430"/>
      <c r="O346" s="430"/>
      <c r="P346" s="430"/>
    </row>
    <row r="347" spans="1:16" ht="18.75" x14ac:dyDescent="0.25">
      <c r="A347" s="419"/>
      <c r="B347" s="420"/>
      <c r="C347" s="421"/>
      <c r="D347" s="422"/>
      <c r="E347" s="422"/>
      <c r="F347" s="423" t="s">
        <v>135</v>
      </c>
      <c r="G347" s="424"/>
      <c r="H347" s="431" t="s">
        <v>33</v>
      </c>
      <c r="I347" s="429"/>
      <c r="J347" s="426">
        <f ca="1">IFERROR(__xludf.DUMMYFUNCTION("IMPORTRANGE(""https://docs.google.com/spreadsheets/d/1awYsYK3VOup2i3Pq_Yjnu8DRu_mYwSBnCR2QPthd0rU/edit?usp=sharing"",""ศูนย์ยกเว้นโฉนด!F73"")"),15)</f>
        <v>15</v>
      </c>
      <c r="K347" s="430"/>
      <c r="L347" s="430"/>
      <c r="M347" s="430"/>
      <c r="N347" s="430"/>
      <c r="O347" s="430"/>
      <c r="P347" s="430"/>
    </row>
    <row r="348" spans="1:16" ht="18.75" x14ac:dyDescent="0.25">
      <c r="A348" s="419"/>
      <c r="B348" s="420"/>
      <c r="C348" s="421"/>
      <c r="D348" s="422"/>
      <c r="E348" s="423" t="s">
        <v>136</v>
      </c>
      <c r="F348" s="422"/>
      <c r="G348" s="424"/>
      <c r="H348" s="431" t="s">
        <v>33</v>
      </c>
      <c r="I348" s="429"/>
      <c r="J348" s="426">
        <f ca="1">IFERROR(__xludf.DUMMYFUNCTION("IMPORTRANGE(""https://docs.google.com/spreadsheets/d/1awYsYK3VOup2i3Pq_Yjnu8DRu_mYwSBnCR2QPthd0rU/edit?usp=sharing"",""ศูนย์ยกเว้นโฉนด!G73"")"),3)</f>
        <v>3</v>
      </c>
      <c r="K348" s="430"/>
      <c r="L348" s="430"/>
      <c r="M348" s="430"/>
      <c r="N348" s="430"/>
      <c r="O348" s="430"/>
      <c r="P348" s="430"/>
    </row>
    <row r="349" spans="1:16" ht="18.75" x14ac:dyDescent="0.25">
      <c r="A349" s="419"/>
      <c r="B349" s="420"/>
      <c r="C349" s="421"/>
      <c r="D349" s="432"/>
      <c r="E349" s="423" t="s">
        <v>137</v>
      </c>
      <c r="F349" s="422"/>
      <c r="G349" s="424"/>
      <c r="H349" s="431" t="s">
        <v>33</v>
      </c>
      <c r="I349" s="429"/>
      <c r="J349" s="426">
        <f ca="1">IFERROR(__xludf.DUMMYFUNCTION("IMPORTRANGE(""https://docs.google.com/spreadsheets/d/1awYsYK3VOup2i3Pq_Yjnu8DRu_mYwSBnCR2QPthd0rU/edit?usp=sharing"",""ศูนย์ยกเว้นโฉนด!H73"")"),6)</f>
        <v>6</v>
      </c>
      <c r="K349" s="430"/>
      <c r="L349" s="430"/>
      <c r="M349" s="430"/>
      <c r="N349" s="430"/>
      <c r="O349" s="430"/>
      <c r="P349" s="430"/>
    </row>
    <row r="350" spans="1:16" ht="16.5" x14ac:dyDescent="0.25">
      <c r="A350" s="421"/>
      <c r="B350" s="420"/>
      <c r="C350" s="421"/>
      <c r="D350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0" s="420"/>
      <c r="F350" s="420"/>
      <c r="G350" s="424"/>
      <c r="H350" s="428"/>
      <c r="I350" s="429"/>
      <c r="J350" s="429"/>
      <c r="K350" s="430"/>
      <c r="L350" s="430"/>
      <c r="M350" s="430"/>
      <c r="N350" s="430"/>
      <c r="O350" s="430"/>
      <c r="P350" s="430"/>
    </row>
    <row r="351" spans="1:16" ht="19.5" x14ac:dyDescent="0.3">
      <c r="A351" s="434"/>
      <c r="B351" s="435"/>
      <c r="C351" s="436"/>
      <c r="D351" s="435"/>
      <c r="E351" s="576" t="s">
        <v>138</v>
      </c>
      <c r="F351" s="435"/>
      <c r="G351" s="438"/>
      <c r="H351" s="439" t="s">
        <v>33</v>
      </c>
      <c r="I351" s="440">
        <v>0</v>
      </c>
      <c r="J351" s="440">
        <f ca="1">J352+J353</f>
        <v>0</v>
      </c>
      <c r="K351" s="441">
        <v>0</v>
      </c>
      <c r="L351" s="575"/>
      <c r="M351" s="575"/>
      <c r="N351" s="575"/>
      <c r="O351" s="575"/>
      <c r="P351" s="575"/>
    </row>
    <row r="352" spans="1:16" ht="18.75" x14ac:dyDescent="0.25">
      <c r="A352" s="421"/>
      <c r="B352" s="420"/>
      <c r="C352" s="421"/>
      <c r="D352" s="422"/>
      <c r="E352" s="423" t="s">
        <v>139</v>
      </c>
      <c r="F352" s="420"/>
      <c r="G352" s="424"/>
      <c r="H352" s="442" t="s">
        <v>33</v>
      </c>
      <c r="I352" s="429"/>
      <c r="J352" s="426">
        <f ca="1">IFERROR(__xludf.DUMMYFUNCTION("IMPORTRANGE(""https://docs.google.com/spreadsheets/d/1awYsYK3VOup2i3Pq_Yjnu8DRu_mYwSBnCR2QPthd0rU/edit?usp=sharing"",""โฉนดM3!G73"")"),0)</f>
        <v>0</v>
      </c>
      <c r="K352" s="430"/>
      <c r="L352" s="430"/>
      <c r="M352" s="430"/>
      <c r="N352" s="430"/>
      <c r="O352" s="430"/>
      <c r="P352" s="430"/>
    </row>
    <row r="353" spans="1:16" ht="18.75" x14ac:dyDescent="0.25">
      <c r="A353" s="421"/>
      <c r="B353" s="420"/>
      <c r="C353" s="421"/>
      <c r="D353" s="422"/>
      <c r="E353" s="423" t="s">
        <v>140</v>
      </c>
      <c r="F353" s="420"/>
      <c r="G353" s="424"/>
      <c r="H353" s="442" t="s">
        <v>33</v>
      </c>
      <c r="I353" s="429"/>
      <c r="J353" s="426">
        <f ca="1">IFERROR(__xludf.DUMMYFUNCTION("IMPORTRANGE(""https://docs.google.com/spreadsheets/d/1awYsYK3VOup2i3Pq_Yjnu8DRu_mYwSBnCR2QPthd0rU/edit?usp=sharing"",""โฉนดM3!H73"")"),0)</f>
        <v>0</v>
      </c>
      <c r="K353" s="430"/>
      <c r="L353" s="430"/>
      <c r="M353" s="430"/>
      <c r="N353" s="430"/>
      <c r="O353" s="430"/>
      <c r="P353" s="430"/>
    </row>
    <row r="354" spans="1:16" ht="16.5" x14ac:dyDescent="0.25">
      <c r="A354" s="421"/>
      <c r="B354" s="420"/>
      <c r="C354" s="421"/>
      <c r="D354" s="433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3 ม.ค. 67 เวลา 15.59 น.]")</f>
        <v xml:space="preserve"> [ข้อมูลจาก ระบบศูนย์บริการประชาชน ข้อมูล ณ 3 ม.ค. 67 เวลา 15.59 น.]</v>
      </c>
      <c r="E354" s="420"/>
      <c r="F354" s="420"/>
      <c r="G354" s="424"/>
      <c r="H354" s="428"/>
      <c r="I354" s="429"/>
      <c r="J354" s="429"/>
      <c r="K354" s="430"/>
      <c r="L354" s="430"/>
      <c r="M354" s="430"/>
      <c r="N354" s="430"/>
      <c r="O354" s="430"/>
      <c r="P354" s="430"/>
    </row>
    <row r="355" spans="1:16" ht="19.5" x14ac:dyDescent="0.3">
      <c r="A355" s="748"/>
      <c r="B355" s="747" t="s">
        <v>141</v>
      </c>
      <c r="C355" s="746"/>
      <c r="D355" s="745"/>
      <c r="E355" s="745"/>
      <c r="F355" s="745"/>
      <c r="G355" s="744"/>
      <c r="H355" s="744"/>
      <c r="I355" s="742"/>
      <c r="J355" s="742"/>
      <c r="K355" s="741"/>
      <c r="L355" s="741"/>
      <c r="M355" s="741"/>
      <c r="N355" s="741"/>
      <c r="O355" s="741"/>
      <c r="P355" s="741"/>
    </row>
    <row r="356" spans="1:16" ht="19.5" x14ac:dyDescent="0.3">
      <c r="A356" s="706"/>
      <c r="B356" s="420"/>
      <c r="C356" s="740" t="s">
        <v>16</v>
      </c>
      <c r="D356" s="739" t="s">
        <v>17</v>
      </c>
      <c r="E356" s="420"/>
      <c r="F356" s="420"/>
      <c r="G356" s="424"/>
      <c r="H356" s="738" t="s">
        <v>12</v>
      </c>
      <c r="I356" s="429"/>
      <c r="J356" s="429"/>
      <c r="K356" s="430"/>
      <c r="L356" s="737">
        <f ca="1">L357+L358</f>
        <v>115055</v>
      </c>
      <c r="M356" s="737">
        <f ca="1">M357+M358</f>
        <v>89055</v>
      </c>
      <c r="N356" s="737">
        <f ca="1">N357+N358</f>
        <v>19666</v>
      </c>
      <c r="O356" s="737">
        <f ca="1">IF(L356&gt;0,N356*100/L356,0)</f>
        <v>17.09269479814002</v>
      </c>
      <c r="P356" s="737">
        <f ca="1">IF(M356&gt;0,N356*100/M356,0)</f>
        <v>22.082982426590309</v>
      </c>
    </row>
    <row r="357" spans="1:16" ht="18.75" hidden="1" x14ac:dyDescent="0.25">
      <c r="A357" s="706"/>
      <c r="B357" s="420"/>
      <c r="C357" s="420"/>
      <c r="D357" s="420"/>
      <c r="E357" s="540" t="s">
        <v>18</v>
      </c>
      <c r="F357" s="420"/>
      <c r="G357" s="424"/>
      <c r="H357" s="544" t="s">
        <v>12</v>
      </c>
      <c r="I357" s="429"/>
      <c r="J357" s="429"/>
      <c r="K357" s="430"/>
      <c r="L357" s="522">
        <f>L360+L363</f>
        <v>0</v>
      </c>
      <c r="M357" s="522">
        <f>M360+M363</f>
        <v>0</v>
      </c>
      <c r="N357" s="522">
        <f>N360+N363</f>
        <v>0</v>
      </c>
      <c r="O357" s="522">
        <f>IF(L357&gt;0,N357*100/L357,0)</f>
        <v>0</v>
      </c>
      <c r="P357" s="522">
        <f>IF(M357&gt;0,N357*100/M357,0)</f>
        <v>0</v>
      </c>
    </row>
    <row r="358" spans="1:16" ht="18.75" x14ac:dyDescent="0.25">
      <c r="A358" s="706"/>
      <c r="B358" s="420"/>
      <c r="C358" s="420"/>
      <c r="D358" s="420"/>
      <c r="E358" s="295" t="s">
        <v>19</v>
      </c>
      <c r="F358" s="420"/>
      <c r="G358" s="424"/>
      <c r="H358" s="442" t="s">
        <v>12</v>
      </c>
      <c r="I358" s="429"/>
      <c r="J358" s="429"/>
      <c r="K358" s="430"/>
      <c r="L358" s="427">
        <f ca="1">L361+L364</f>
        <v>115055</v>
      </c>
      <c r="M358" s="427">
        <f ca="1">M361+M364</f>
        <v>89055</v>
      </c>
      <c r="N358" s="427">
        <f ca="1">N361+N364</f>
        <v>19666</v>
      </c>
      <c r="O358" s="427">
        <f ca="1">IF(L358&gt;0,N358*100/L358,0)</f>
        <v>17.09269479814002</v>
      </c>
      <c r="P358" s="427">
        <f ca="1">IF(M358&gt;0,N358*100/M358,0)</f>
        <v>22.082982426590309</v>
      </c>
    </row>
    <row r="359" spans="1:16" ht="18.75" x14ac:dyDescent="0.25">
      <c r="A359" s="706"/>
      <c r="B359" s="420"/>
      <c r="C359" s="420"/>
      <c r="D359" s="735" t="s">
        <v>20</v>
      </c>
      <c r="E359" s="420"/>
      <c r="F359" s="420"/>
      <c r="G359" s="424"/>
      <c r="H359" s="736" t="s">
        <v>12</v>
      </c>
      <c r="I359" s="701"/>
      <c r="J359" s="701"/>
      <c r="K359" s="700"/>
      <c r="L359" s="427">
        <f ca="1">L360+L361</f>
        <v>115055</v>
      </c>
      <c r="M359" s="427">
        <f ca="1">M360+M361</f>
        <v>89055</v>
      </c>
      <c r="N359" s="427">
        <f ca="1">N360+N361</f>
        <v>19666</v>
      </c>
      <c r="O359" s="427">
        <f ca="1">IF(L359&gt;0,N359*100/L359,0)</f>
        <v>17.09269479814002</v>
      </c>
      <c r="P359" s="427">
        <f ca="1">IF(M359&gt;0,N359*100/M359,0)</f>
        <v>22.082982426590309</v>
      </c>
    </row>
    <row r="360" spans="1:16" ht="18.75" hidden="1" x14ac:dyDescent="0.25">
      <c r="A360" s="706"/>
      <c r="B360" s="420"/>
      <c r="C360" s="420"/>
      <c r="D360" s="420"/>
      <c r="E360" s="540" t="s">
        <v>34</v>
      </c>
      <c r="F360" s="420"/>
      <c r="G360" s="424"/>
      <c r="H360" s="542" t="s">
        <v>12</v>
      </c>
      <c r="I360" s="701"/>
      <c r="J360" s="701"/>
      <c r="K360" s="700"/>
      <c r="L360" s="522">
        <v>0</v>
      </c>
      <c r="M360" s="522">
        <v>0</v>
      </c>
      <c r="N360" s="522">
        <v>0</v>
      </c>
      <c r="O360" s="522">
        <f>IF(L360&gt;0,N360*100/L360,0)</f>
        <v>0</v>
      </c>
      <c r="P360" s="522">
        <f>IF(M360&gt;0,N360*100/M360,0)</f>
        <v>0</v>
      </c>
    </row>
    <row r="361" spans="1:16" ht="18.75" x14ac:dyDescent="0.25">
      <c r="A361" s="706"/>
      <c r="B361" s="420"/>
      <c r="C361" s="420"/>
      <c r="D361" s="420"/>
      <c r="E361" s="295" t="s">
        <v>35</v>
      </c>
      <c r="F361" s="420"/>
      <c r="G361" s="424"/>
      <c r="H361" s="736" t="s">
        <v>12</v>
      </c>
      <c r="I361" s="701"/>
      <c r="J361" s="701"/>
      <c r="K361" s="700"/>
      <c r="L361" s="427">
        <f ca="1">IFERROR(__xludf.DUMMYFUNCTION("IMPORTRANGE(""https://docs.google.com/spreadsheets/d/1-uDff_7J0KD5mKrp0Vvzr7lt3OU09vwQwhkpOPPYv2Y/edit?usp=sharing"",""งบพรบ!FC73"")"),115055)</f>
        <v>115055</v>
      </c>
      <c r="M361" s="427">
        <f ca="1">IFERROR(__xludf.DUMMYFUNCTION("IMPORTRANGE(""https://docs.google.com/spreadsheets/d/1-uDff_7J0KD5mKrp0Vvzr7lt3OU09vwQwhkpOPPYv2Y/edit?usp=sharing"",""งบพรบ!FH73"")"),89055)</f>
        <v>89055</v>
      </c>
      <c r="N361" s="427">
        <f ca="1">IFERROR(__xludf.DUMMYFUNCTION("IMPORTRANGE(""https://docs.google.com/spreadsheets/d/1-uDff_7J0KD5mKrp0Vvzr7lt3OU09vwQwhkpOPPYv2Y/edit?usp=sharing"",""งบพรบ!FJ73"")"),19666)</f>
        <v>19666</v>
      </c>
      <c r="O361" s="427">
        <f ca="1">IF(L361&gt;0,N361*100/L361,0)</f>
        <v>17.09269479814002</v>
      </c>
      <c r="P361" s="427">
        <f ca="1">IF(M361&gt;0,N361*100/M361,0)</f>
        <v>22.082982426590309</v>
      </c>
    </row>
    <row r="362" spans="1:16" ht="18.75" x14ac:dyDescent="0.25">
      <c r="A362" s="706"/>
      <c r="B362" s="420"/>
      <c r="C362" s="420"/>
      <c r="D362" s="735" t="s">
        <v>21</v>
      </c>
      <c r="E362" s="420"/>
      <c r="F362" s="420"/>
      <c r="G362" s="424"/>
      <c r="H362" s="727" t="s">
        <v>12</v>
      </c>
      <c r="I362" s="701"/>
      <c r="J362" s="701"/>
      <c r="K362" s="700"/>
      <c r="L362" s="427">
        <f ca="1">L363+L364</f>
        <v>0</v>
      </c>
      <c r="M362" s="427">
        <f ca="1">M363+M364</f>
        <v>0</v>
      </c>
      <c r="N362" s="427">
        <f ca="1">N363+N364</f>
        <v>0</v>
      </c>
      <c r="O362" s="427">
        <f ca="1">IF(L362&gt;0,N362*100/L362,0)</f>
        <v>0</v>
      </c>
      <c r="P362" s="427">
        <f ca="1">IF(M362&gt;0,N362*100/M362,0)</f>
        <v>0</v>
      </c>
    </row>
    <row r="363" spans="1:16" ht="18.75" hidden="1" x14ac:dyDescent="0.25">
      <c r="A363" s="706"/>
      <c r="B363" s="420"/>
      <c r="C363" s="420"/>
      <c r="D363" s="420"/>
      <c r="E363" s="540" t="s">
        <v>18</v>
      </c>
      <c r="F363" s="420"/>
      <c r="G363" s="424"/>
      <c r="H363" s="542" t="s">
        <v>12</v>
      </c>
      <c r="I363" s="701"/>
      <c r="J363" s="701"/>
      <c r="K363" s="700"/>
      <c r="L363" s="522">
        <v>0</v>
      </c>
      <c r="M363" s="522">
        <v>0</v>
      </c>
      <c r="N363" s="522">
        <v>0</v>
      </c>
      <c r="O363" s="522">
        <f>IF(L363&gt;0,N363*100/L363,0)</f>
        <v>0</v>
      </c>
      <c r="P363" s="522">
        <f>IF(M363&gt;0,N363*100/M363,0)</f>
        <v>0</v>
      </c>
    </row>
    <row r="364" spans="1:16" ht="18.75" x14ac:dyDescent="0.25">
      <c r="A364" s="706"/>
      <c r="B364" s="420"/>
      <c r="C364" s="420"/>
      <c r="D364" s="420"/>
      <c r="E364" s="295" t="s">
        <v>19</v>
      </c>
      <c r="F364" s="420"/>
      <c r="G364" s="424"/>
      <c r="H364" s="727" t="s">
        <v>12</v>
      </c>
      <c r="I364" s="701"/>
      <c r="J364" s="701"/>
      <c r="K364" s="700"/>
      <c r="L364" s="427">
        <f ca="1">IFERROR(__xludf.DUMMYFUNCTION("IMPORTRANGE(""https://docs.google.com/spreadsheets/d/1-uDff_7J0KD5mKrp0Vvzr7lt3OU09vwQwhkpOPPYv2Y/edit?usp=sharing"",""งบพรบ!FF73"")"),0)</f>
        <v>0</v>
      </c>
      <c r="M364" s="427">
        <f ca="1">IFERROR(__xludf.DUMMYFUNCTION("IMPORTRANGE(""https://docs.google.com/spreadsheets/d/1-uDff_7J0KD5mKrp0Vvzr7lt3OU09vwQwhkpOPPYv2Y/edit?usp=sharing"",""งบพรบ!FI73"")"),0)</f>
        <v>0</v>
      </c>
      <c r="N364" s="427">
        <f ca="1">IFERROR(__xludf.DUMMYFUNCTION("IMPORTRANGE(""https://docs.google.com/spreadsheets/d/1-uDff_7J0KD5mKrp0Vvzr7lt3OU09vwQwhkpOPPYv2Y/edit?usp=sharing"",""งบพรบ!FK73"")"),0)</f>
        <v>0</v>
      </c>
      <c r="O364" s="427">
        <f ca="1">IF(L364&gt;0,N364*100/L364,0)</f>
        <v>0</v>
      </c>
      <c r="P364" s="427">
        <f ca="1">IF(M364&gt;0,N364*100/M364,0)</f>
        <v>0</v>
      </c>
    </row>
    <row r="365" spans="1:16" ht="19.5" x14ac:dyDescent="0.3">
      <c r="A365" s="434"/>
      <c r="B365" s="436"/>
      <c r="C365" s="435"/>
      <c r="D365" s="576" t="s">
        <v>142</v>
      </c>
      <c r="E365" s="435"/>
      <c r="F365" s="435"/>
      <c r="G365" s="438"/>
      <c r="H365" s="734" t="s">
        <v>33</v>
      </c>
      <c r="I365" s="440">
        <f ca="1">I371</f>
        <v>0</v>
      </c>
      <c r="J365" s="440">
        <f ca="1">J371</f>
        <v>0</v>
      </c>
      <c r="K365" s="441">
        <f ca="1">IF(I365&gt;0,J365*100/I365,0)</f>
        <v>0</v>
      </c>
      <c r="L365" s="575"/>
      <c r="M365" s="575"/>
      <c r="N365" s="575"/>
      <c r="O365" s="575"/>
      <c r="P365" s="575"/>
    </row>
    <row r="366" spans="1:16" ht="19.5" x14ac:dyDescent="0.3">
      <c r="A366" s="705"/>
      <c r="B366" s="432"/>
      <c r="C366" s="740" t="s">
        <v>16</v>
      </c>
      <c r="D366" s="759" t="s">
        <v>36</v>
      </c>
      <c r="E366" s="704"/>
      <c r="F366" s="704"/>
      <c r="G366" s="703"/>
      <c r="H366" s="702"/>
      <c r="I366" s="429"/>
      <c r="J366" s="429"/>
      <c r="K366" s="430"/>
      <c r="L366" s="700"/>
      <c r="M366" s="700"/>
      <c r="N366" s="700"/>
      <c r="O366" s="700"/>
      <c r="P366" s="700"/>
    </row>
    <row r="367" spans="1:16" ht="18.75" x14ac:dyDescent="0.25">
      <c r="A367" s="705"/>
      <c r="B367" s="422"/>
      <c r="C367" s="432"/>
      <c r="D367" s="422"/>
      <c r="E367" s="728" t="s">
        <v>143</v>
      </c>
      <c r="F367" s="422"/>
      <c r="G367" s="702"/>
      <c r="H367" s="729" t="s">
        <v>33</v>
      </c>
      <c r="I367" s="426">
        <v>0</v>
      </c>
      <c r="J367" s="426">
        <f ca="1">IFERROR(__xludf.DUMMYFUNCTION("IMPORTRANGE(""https://docs.google.com/spreadsheets/d/1tdoBKaGub7dwA3U6UFTqxio9LNnvDCQjHKmttSEBsFQ/edit?usp=sharing"",""จัดที่ดิน!AB73"")"),0)</f>
        <v>0</v>
      </c>
      <c r="K367" s="427">
        <f>IF(I367&gt;0,J367*100/I367,0)</f>
        <v>0</v>
      </c>
      <c r="L367" s="700"/>
      <c r="M367" s="700"/>
      <c r="N367" s="700"/>
      <c r="O367" s="700"/>
      <c r="P367" s="700"/>
    </row>
    <row r="368" spans="1:16" ht="18.75" x14ac:dyDescent="0.25">
      <c r="A368" s="705"/>
      <c r="B368" s="422"/>
      <c r="C368" s="432"/>
      <c r="D368" s="422"/>
      <c r="E368" s="422"/>
      <c r="F368" s="422"/>
      <c r="G368" s="702"/>
      <c r="H368" s="729" t="s">
        <v>44</v>
      </c>
      <c r="I368" s="426">
        <f ca="1">IFERROR(__xludf.DUMMYFUNCTION("IMPORTRANGE(""https://docs.google.com/spreadsheets/d/1eHaY18a8A9IcSdp1K8H6x8fbOy06t2VsZHhMHf-1x7Y/edit?usp=sharing"",""แผน!EW73"")"),0)</f>
        <v>0</v>
      </c>
      <c r="J368" s="726">
        <f ca="1">IFERROR(__xludf.DUMMYFUNCTION("IMPORTRANGE(""https://docs.google.com/spreadsheets/d/1tdoBKaGub7dwA3U6UFTqxio9LNnvDCQjHKmttSEBsFQ/edit?usp=sharing"",""จัดที่ดิน!AC73"")"),0)</f>
        <v>0</v>
      </c>
      <c r="K368" s="427">
        <f ca="1">IF(I368&gt;0,J368*100/I368,0)</f>
        <v>0</v>
      </c>
      <c r="L368" s="700"/>
      <c r="M368" s="700"/>
      <c r="N368" s="700"/>
      <c r="O368" s="700"/>
      <c r="P368" s="700"/>
    </row>
    <row r="369" spans="1:16" ht="18.75" x14ac:dyDescent="0.25">
      <c r="A369" s="705"/>
      <c r="B369" s="422"/>
      <c r="C369" s="432"/>
      <c r="D369" s="422"/>
      <c r="E369" s="728" t="s">
        <v>144</v>
      </c>
      <c r="F369" s="422"/>
      <c r="G369" s="702"/>
      <c r="H369" s="791" t="s">
        <v>33</v>
      </c>
      <c r="I369" s="426">
        <f ca="1">IFERROR(__xludf.DUMMYFUNCTION("IMPORTRANGE(""https://docs.google.com/spreadsheets/d/1eHaY18a8A9IcSdp1K8H6x8fbOy06t2VsZHhMHf-1x7Y/edit?usp=sharing"",""แผน!EX73"")"),0)</f>
        <v>0</v>
      </c>
      <c r="J369" s="426">
        <f ca="1">IFERROR(__xludf.DUMMYFUNCTION("IMPORTRANGE(""https://docs.google.com/spreadsheets/d/1tdoBKaGub7dwA3U6UFTqxio9LNnvDCQjHKmttSEBsFQ/edit?usp=sharing"",""จัดที่ดิน!AD73"")"),0)</f>
        <v>0</v>
      </c>
      <c r="K369" s="427">
        <f ca="1">IF(I369&gt;0,J369*100/I369,0)</f>
        <v>0</v>
      </c>
      <c r="L369" s="700"/>
      <c r="M369" s="700"/>
      <c r="N369" s="700"/>
      <c r="O369" s="700"/>
      <c r="P369" s="700"/>
    </row>
    <row r="370" spans="1:16" ht="18.75" x14ac:dyDescent="0.25">
      <c r="A370" s="705"/>
      <c r="B370" s="422"/>
      <c r="C370" s="432"/>
      <c r="D370" s="422"/>
      <c r="E370" s="422"/>
      <c r="F370" s="422"/>
      <c r="G370" s="702"/>
      <c r="H370" s="791" t="s">
        <v>44</v>
      </c>
      <c r="I370" s="426">
        <v>0</v>
      </c>
      <c r="J370" s="726">
        <f ca="1">IFERROR(__xludf.DUMMYFUNCTION("IMPORTRANGE(""https://docs.google.com/spreadsheets/d/1tdoBKaGub7dwA3U6UFTqxio9LNnvDCQjHKmttSEBsFQ/edit?usp=sharing"",""จัดที่ดิน!AE73"")"),0)</f>
        <v>0</v>
      </c>
      <c r="K370" s="427">
        <f>IF(I370&gt;0,J370*100/I370,0)</f>
        <v>0</v>
      </c>
      <c r="L370" s="700"/>
      <c r="M370" s="700"/>
      <c r="N370" s="700"/>
      <c r="O370" s="700"/>
      <c r="P370" s="700"/>
    </row>
    <row r="371" spans="1:16" ht="18.75" x14ac:dyDescent="0.25">
      <c r="A371" s="705"/>
      <c r="B371" s="422"/>
      <c r="C371" s="432"/>
      <c r="D371" s="422"/>
      <c r="E371" s="728" t="s">
        <v>145</v>
      </c>
      <c r="F371" s="422"/>
      <c r="G371" s="702"/>
      <c r="H371" s="791" t="s">
        <v>33</v>
      </c>
      <c r="I371" s="426">
        <f ca="1">IFERROR(__xludf.DUMMYFUNCTION("IMPORTRANGE(""https://docs.google.com/spreadsheets/d/1eHaY18a8A9IcSdp1K8H6x8fbOy06t2VsZHhMHf-1x7Y/edit?usp=sharing"",""แผน!EY73"")"),0)</f>
        <v>0</v>
      </c>
      <c r="J371" s="426">
        <f ca="1">IFERROR(__xludf.DUMMYFUNCTION("IMPORTRANGE(""https://docs.google.com/spreadsheets/d/1tdoBKaGub7dwA3U6UFTqxio9LNnvDCQjHKmttSEBsFQ/edit?usp=sharing"",""จัดที่ดิน!AF73"")"),0)</f>
        <v>0</v>
      </c>
      <c r="K371" s="427">
        <f ca="1">IF(I371&gt;0,J371*100/I371,0)</f>
        <v>0</v>
      </c>
      <c r="L371" s="700"/>
      <c r="M371" s="700"/>
      <c r="N371" s="700"/>
      <c r="O371" s="700"/>
      <c r="P371" s="700"/>
    </row>
    <row r="372" spans="1:16" ht="18.75" x14ac:dyDescent="0.25">
      <c r="A372" s="705"/>
      <c r="B372" s="422"/>
      <c r="C372" s="432"/>
      <c r="D372" s="422"/>
      <c r="E372" s="422"/>
      <c r="F372" s="422"/>
      <c r="G372" s="702"/>
      <c r="H372" s="791" t="s">
        <v>44</v>
      </c>
      <c r="I372" s="426">
        <v>0</v>
      </c>
      <c r="J372" s="726">
        <f ca="1">IFERROR(__xludf.DUMMYFUNCTION("IMPORTRANGE(""https://docs.google.com/spreadsheets/d/1tdoBKaGub7dwA3U6UFTqxio9LNnvDCQjHKmttSEBsFQ/edit?usp=sharing"",""จัดที่ดิน!AG73"")"),0)</f>
        <v>0</v>
      </c>
      <c r="K372" s="427">
        <f>IF(I372&gt;0,J372*100/I372,0)</f>
        <v>0</v>
      </c>
      <c r="L372" s="700"/>
      <c r="M372" s="700"/>
      <c r="N372" s="700"/>
      <c r="O372" s="700"/>
      <c r="P372" s="700"/>
    </row>
    <row r="373" spans="1:16" ht="16.5" x14ac:dyDescent="0.25">
      <c r="A373" s="698"/>
      <c r="B373" s="649"/>
      <c r="C373" s="698"/>
      <c r="D373" s="725" t="str">
        <f ca="1">IFERROR(__xludf.DUMMYFUNCTION("IMPORTRANGE(""https://docs.google.com/spreadsheets/d/1gNPQPjxUj63ZZXIIIm2aX4x3w7PhAZpC9JuXdbpWwUQ/edit?usp=sharing"",""Sheet1!b4"")")," [ข้อมูลจาก ระบบ ALRO Land Online ข้อมูล ณ 3 ม.ค. 2566 เวลา 07.50 น.]")</f>
        <v xml:space="preserve"> [ข้อมูลจาก ระบบ ALRO Land Online ข้อมูล ณ 3 ม.ค. 2566 เวลา 07.50 น.]</v>
      </c>
      <c r="E373" s="649"/>
      <c r="F373" s="649"/>
      <c r="G373" s="648"/>
      <c r="H373" s="648"/>
      <c r="I373" s="646"/>
      <c r="J373" s="646"/>
      <c r="K373" s="645"/>
      <c r="L373" s="645"/>
      <c r="M373" s="645"/>
      <c r="N373" s="645"/>
      <c r="O373" s="645"/>
      <c r="P373" s="645"/>
    </row>
    <row r="374" spans="1:16" ht="19.5" hidden="1" x14ac:dyDescent="0.3">
      <c r="A374" s="723" t="s">
        <v>146</v>
      </c>
      <c r="B374" s="721"/>
      <c r="C374" s="721"/>
      <c r="D374" s="721"/>
      <c r="E374" s="722"/>
      <c r="F374" s="722"/>
      <c r="G374" s="722"/>
      <c r="H374" s="722"/>
      <c r="I374" s="720"/>
      <c r="J374" s="720"/>
      <c r="K374" s="719"/>
      <c r="L374" s="719"/>
      <c r="M374" s="719"/>
      <c r="N374" s="719"/>
      <c r="O374" s="719"/>
      <c r="P374" s="718"/>
    </row>
    <row r="375" spans="1:16" ht="19.5" hidden="1" x14ac:dyDescent="0.3">
      <c r="A375" s="562" t="s">
        <v>147</v>
      </c>
      <c r="B375" s="716"/>
      <c r="C375" s="716"/>
      <c r="D375" s="717"/>
      <c r="E375" s="716"/>
      <c r="F375" s="716"/>
      <c r="G375" s="716"/>
      <c r="H375" s="1005"/>
      <c r="I375" s="714"/>
      <c r="J375" s="714"/>
      <c r="K375" s="713"/>
      <c r="L375" s="713"/>
      <c r="M375" s="713"/>
      <c r="N375" s="713"/>
      <c r="O375" s="713"/>
      <c r="P375" s="713"/>
    </row>
    <row r="376" spans="1:16" ht="19.5" hidden="1" x14ac:dyDescent="0.3">
      <c r="A376" s="712"/>
      <c r="B376" s="555" t="s">
        <v>148</v>
      </c>
      <c r="C376" s="711"/>
      <c r="D376" s="710"/>
      <c r="E376" s="710"/>
      <c r="F376" s="710"/>
      <c r="G376" s="709"/>
      <c r="H376" s="551" t="s">
        <v>54</v>
      </c>
      <c r="I376" s="550">
        <f>I388</f>
        <v>0</v>
      </c>
      <c r="J376" s="550">
        <f>J388</f>
        <v>0</v>
      </c>
      <c r="K376" s="549">
        <f>IF(I376&gt;0,J376*100/I376,0)</f>
        <v>0</v>
      </c>
      <c r="L376" s="707"/>
      <c r="M376" s="707"/>
      <c r="N376" s="707"/>
      <c r="O376" s="707"/>
      <c r="P376" s="707"/>
    </row>
    <row r="377" spans="1:16" ht="19.5" hidden="1" x14ac:dyDescent="0.3">
      <c r="A377" s="706"/>
      <c r="B377" s="420"/>
      <c r="C377" s="537" t="s">
        <v>16</v>
      </c>
      <c r="D377" s="547" t="s">
        <v>17</v>
      </c>
      <c r="E377" s="420"/>
      <c r="F377" s="420"/>
      <c r="G377" s="424"/>
      <c r="H377" s="546" t="s">
        <v>12</v>
      </c>
      <c r="I377" s="429"/>
      <c r="J377" s="429"/>
      <c r="K377" s="430"/>
      <c r="L377" s="545">
        <f ca="1">L378+L379</f>
        <v>0</v>
      </c>
      <c r="M377" s="545">
        <f ca="1">M378+M379</f>
        <v>0</v>
      </c>
      <c r="N377" s="545">
        <f ca="1">N378+N379</f>
        <v>0</v>
      </c>
      <c r="O377" s="545">
        <f ca="1">IF(L377&gt;0,N377*100/L377,0)</f>
        <v>0</v>
      </c>
      <c r="P377" s="545">
        <f ca="1">IF(M377&gt;0,N377*100/M377,0)</f>
        <v>0</v>
      </c>
    </row>
    <row r="378" spans="1:16" ht="18.75" hidden="1" x14ac:dyDescent="0.25">
      <c r="A378" s="706"/>
      <c r="B378" s="420"/>
      <c r="C378" s="420"/>
      <c r="D378" s="420"/>
      <c r="E378" s="540" t="s">
        <v>18</v>
      </c>
      <c r="F378" s="420"/>
      <c r="G378" s="424"/>
      <c r="H378" s="544" t="s">
        <v>12</v>
      </c>
      <c r="I378" s="429"/>
      <c r="J378" s="429"/>
      <c r="K378" s="430"/>
      <c r="L378" s="522">
        <f>L381+L384</f>
        <v>0</v>
      </c>
      <c r="M378" s="522">
        <f>M381+M384</f>
        <v>0</v>
      </c>
      <c r="N378" s="522">
        <f>N381+N384</f>
        <v>0</v>
      </c>
      <c r="O378" s="522">
        <f>IF(L378&gt;0,N378*100/L378,0)</f>
        <v>0</v>
      </c>
      <c r="P378" s="522">
        <f>IF(M378&gt;0,N378*100/M378,0)</f>
        <v>0</v>
      </c>
    </row>
    <row r="379" spans="1:16" ht="18.75" hidden="1" x14ac:dyDescent="0.25">
      <c r="A379" s="706"/>
      <c r="B379" s="420"/>
      <c r="C379" s="420"/>
      <c r="D379" s="420"/>
      <c r="E379" s="540" t="s">
        <v>19</v>
      </c>
      <c r="F379" s="420"/>
      <c r="G379" s="424"/>
      <c r="H379" s="544" t="s">
        <v>12</v>
      </c>
      <c r="I379" s="429"/>
      <c r="J379" s="429"/>
      <c r="K379" s="430"/>
      <c r="L379" s="522">
        <f ca="1">L382+L385</f>
        <v>0</v>
      </c>
      <c r="M379" s="522">
        <f ca="1">M382+M385</f>
        <v>0</v>
      </c>
      <c r="N379" s="522">
        <f ca="1">N382+N385</f>
        <v>0</v>
      </c>
      <c r="O379" s="522">
        <f ca="1">IF(L379&gt;0,N379*100/L379,0)</f>
        <v>0</v>
      </c>
      <c r="P379" s="522">
        <f ca="1">IF(M379&gt;0,N379*100/M379,0)</f>
        <v>0</v>
      </c>
    </row>
    <row r="380" spans="1:16" ht="18.75" hidden="1" x14ac:dyDescent="0.25">
      <c r="A380" s="706"/>
      <c r="B380" s="420"/>
      <c r="C380" s="420"/>
      <c r="D380" s="543" t="s">
        <v>20</v>
      </c>
      <c r="E380" s="420"/>
      <c r="F380" s="420"/>
      <c r="G380" s="424"/>
      <c r="H380" s="542" t="s">
        <v>12</v>
      </c>
      <c r="I380" s="701"/>
      <c r="J380" s="701"/>
      <c r="K380" s="700"/>
      <c r="L380" s="522">
        <f ca="1">L381+L382</f>
        <v>0</v>
      </c>
      <c r="M380" s="522">
        <f ca="1">M381+M382</f>
        <v>0</v>
      </c>
      <c r="N380" s="522">
        <f ca="1">N381+N382</f>
        <v>0</v>
      </c>
      <c r="O380" s="522">
        <f ca="1">IF(L380&gt;0,N380*100/L380,0)</f>
        <v>0</v>
      </c>
      <c r="P380" s="522">
        <f ca="1">IF(M380&gt;0,N380*100/M380,0)</f>
        <v>0</v>
      </c>
    </row>
    <row r="381" spans="1:16" ht="18.75" hidden="1" x14ac:dyDescent="0.25">
      <c r="A381" s="706"/>
      <c r="B381" s="420"/>
      <c r="C381" s="420"/>
      <c r="D381" s="420"/>
      <c r="E381" s="540" t="s">
        <v>34</v>
      </c>
      <c r="F381" s="420"/>
      <c r="G381" s="424"/>
      <c r="H381" s="542" t="s">
        <v>12</v>
      </c>
      <c r="I381" s="701"/>
      <c r="J381" s="701"/>
      <c r="K381" s="700"/>
      <c r="L381" s="522">
        <v>0</v>
      </c>
      <c r="M381" s="522">
        <v>0</v>
      </c>
      <c r="N381" s="522">
        <v>0</v>
      </c>
      <c r="O381" s="522">
        <f>IF(L381&gt;0,N381*100/L381,0)</f>
        <v>0</v>
      </c>
      <c r="P381" s="522">
        <f>IF(M381&gt;0,N381*100/M381,0)</f>
        <v>0</v>
      </c>
    </row>
    <row r="382" spans="1:16" ht="18.75" hidden="1" x14ac:dyDescent="0.25">
      <c r="A382" s="706"/>
      <c r="B382" s="420"/>
      <c r="C382" s="420"/>
      <c r="D382" s="420"/>
      <c r="E382" s="540" t="s">
        <v>35</v>
      </c>
      <c r="F382" s="420"/>
      <c r="G382" s="424"/>
      <c r="H382" s="542" t="s">
        <v>12</v>
      </c>
      <c r="I382" s="701"/>
      <c r="J382" s="701"/>
      <c r="K382" s="700"/>
      <c r="L382" s="522">
        <f ca="1">IFERROR(__xludf.DUMMYFUNCTION("IMPORTRANGE(""https://docs.google.com/spreadsheets/d/1-uDff_7J0KD5mKrp0Vvzr7lt3OU09vwQwhkpOPPYv2Y/edit?usp=sharing"",""งบพรบ!FM73"")"),0)</f>
        <v>0</v>
      </c>
      <c r="M382" s="522">
        <f ca="1">IFERROR(__xludf.DUMMYFUNCTION("IMPORTRANGE(""https://docs.google.com/spreadsheets/d/1-uDff_7J0KD5mKrp0Vvzr7lt3OU09vwQwhkpOPPYv2Y/edit?usp=sharing"",""งบพรบ!FR73"")"),0)</f>
        <v>0</v>
      </c>
      <c r="N382" s="522">
        <f ca="1">IFERROR(__xludf.DUMMYFUNCTION("IMPORTRANGE(""https://docs.google.com/spreadsheets/d/1-uDff_7J0KD5mKrp0Vvzr7lt3OU09vwQwhkpOPPYv2Y/edit?usp=sharing"",""งบพรบ!FT73"")"),0)</f>
        <v>0</v>
      </c>
      <c r="O382" s="522">
        <f ca="1">IF(L382&gt;0,N382*100/L382,0)</f>
        <v>0</v>
      </c>
      <c r="P382" s="522">
        <f ca="1">IF(M382&gt;0,N382*100/M382,0)</f>
        <v>0</v>
      </c>
    </row>
    <row r="383" spans="1:16" ht="18.75" hidden="1" x14ac:dyDescent="0.25">
      <c r="A383" s="706"/>
      <c r="B383" s="420"/>
      <c r="C383" s="420"/>
      <c r="D383" s="543" t="s">
        <v>21</v>
      </c>
      <c r="E383" s="420"/>
      <c r="F383" s="420"/>
      <c r="G383" s="424"/>
      <c r="H383" s="539" t="s">
        <v>12</v>
      </c>
      <c r="I383" s="701"/>
      <c r="J383" s="701"/>
      <c r="K383" s="700"/>
      <c r="L383" s="522">
        <f ca="1">L384+L385</f>
        <v>0</v>
      </c>
      <c r="M383" s="522">
        <f ca="1">M384+M385</f>
        <v>0</v>
      </c>
      <c r="N383" s="522">
        <f ca="1">N384+N385</f>
        <v>0</v>
      </c>
      <c r="O383" s="522">
        <f ca="1">IF(L383&gt;0,N383*100/L383,0)</f>
        <v>0</v>
      </c>
      <c r="P383" s="522">
        <f ca="1">IF(M383&gt;0,N383*100/M383,0)</f>
        <v>0</v>
      </c>
    </row>
    <row r="384" spans="1:16" ht="18.75" hidden="1" x14ac:dyDescent="0.25">
      <c r="A384" s="706"/>
      <c r="B384" s="420"/>
      <c r="C384" s="420"/>
      <c r="D384" s="420"/>
      <c r="E384" s="540" t="s">
        <v>18</v>
      </c>
      <c r="F384" s="420"/>
      <c r="G384" s="424"/>
      <c r="H384" s="542" t="s">
        <v>12</v>
      </c>
      <c r="I384" s="701"/>
      <c r="J384" s="701"/>
      <c r="K384" s="700"/>
      <c r="L384" s="522">
        <v>0</v>
      </c>
      <c r="M384" s="522">
        <v>0</v>
      </c>
      <c r="N384" s="522">
        <v>0</v>
      </c>
      <c r="O384" s="522">
        <f>IF(L384&gt;0,N384*100/L384,0)</f>
        <v>0</v>
      </c>
      <c r="P384" s="522">
        <f>IF(M384&gt;0,N384*100/M384,0)</f>
        <v>0</v>
      </c>
    </row>
    <row r="385" spans="1:16" ht="18.75" hidden="1" x14ac:dyDescent="0.25">
      <c r="A385" s="706"/>
      <c r="B385" s="420"/>
      <c r="C385" s="420"/>
      <c r="D385" s="420"/>
      <c r="E385" s="540" t="s">
        <v>19</v>
      </c>
      <c r="F385" s="420"/>
      <c r="G385" s="424"/>
      <c r="H385" s="539" t="s">
        <v>12</v>
      </c>
      <c r="I385" s="701"/>
      <c r="J385" s="701"/>
      <c r="K385" s="700"/>
      <c r="L385" s="522">
        <f ca="1">IFERROR(__xludf.DUMMYFUNCTION("IMPORTRANGE(""https://docs.google.com/spreadsheets/d/1-uDff_7J0KD5mKrp0Vvzr7lt3OU09vwQwhkpOPPYv2Y/edit?usp=sharing"",""งบพรบ!FP73"")"),0)</f>
        <v>0</v>
      </c>
      <c r="M385" s="522">
        <f ca="1">IFERROR(__xludf.DUMMYFUNCTION("IMPORTRANGE(""https://docs.google.com/spreadsheets/d/1-uDff_7J0KD5mKrp0Vvzr7lt3OU09vwQwhkpOPPYv2Y/edit?usp=sharing"",""งบพรบ!FS73"")"),0)</f>
        <v>0</v>
      </c>
      <c r="N385" s="522">
        <f ca="1">IFERROR(__xludf.DUMMYFUNCTION("IMPORTRANGE(""https://docs.google.com/spreadsheets/d/1-uDff_7J0KD5mKrp0Vvzr7lt3OU09vwQwhkpOPPYv2Y/edit?usp=sharing"",""งบพรบ!FU73"")"),0)</f>
        <v>0</v>
      </c>
      <c r="O385" s="522">
        <f ca="1">IF(L385&gt;0,N385*100/L385,0)</f>
        <v>0</v>
      </c>
      <c r="P385" s="522">
        <f ca="1">IF(M385&gt;0,N385*100/M385,0)</f>
        <v>0</v>
      </c>
    </row>
    <row r="386" spans="1:16" ht="19.5" hidden="1" x14ac:dyDescent="0.3">
      <c r="A386" s="705"/>
      <c r="B386" s="432"/>
      <c r="C386" s="537" t="s">
        <v>16</v>
      </c>
      <c r="D386" s="536" t="s">
        <v>36</v>
      </c>
      <c r="E386" s="704"/>
      <c r="F386" s="704"/>
      <c r="G386" s="703"/>
      <c r="H386" s="702"/>
      <c r="I386" s="701"/>
      <c r="J386" s="429"/>
      <c r="K386" s="430"/>
      <c r="L386" s="430"/>
      <c r="M386" s="430"/>
      <c r="N386" s="430"/>
      <c r="O386" s="700"/>
      <c r="P386" s="700"/>
    </row>
    <row r="387" spans="1:16" ht="18.75" hidden="1" x14ac:dyDescent="0.25">
      <c r="A387" s="419"/>
      <c r="B387" s="420"/>
      <c r="C387" s="421"/>
      <c r="D387" s="528" t="s">
        <v>149</v>
      </c>
      <c r="E387" s="432"/>
      <c r="F387" s="420"/>
      <c r="G387" s="424"/>
      <c r="H387" s="524" t="s">
        <v>9</v>
      </c>
      <c r="I387" s="201">
        <v>0</v>
      </c>
      <c r="J387" s="523">
        <v>0</v>
      </c>
      <c r="K387" s="522">
        <f>IF(I387&gt;0,J387*100/I387,0)</f>
        <v>0</v>
      </c>
      <c r="L387" s="430"/>
      <c r="M387" s="430"/>
      <c r="N387" s="430"/>
      <c r="O387" s="430"/>
      <c r="P387" s="430"/>
    </row>
    <row r="388" spans="1:16" ht="18.75" hidden="1" x14ac:dyDescent="0.25">
      <c r="A388" s="699"/>
      <c r="B388" s="649"/>
      <c r="C388" s="698"/>
      <c r="D388" s="518" t="s">
        <v>150</v>
      </c>
      <c r="E388" s="697"/>
      <c r="F388" s="649"/>
      <c r="G388" s="648"/>
      <c r="H388" s="514" t="s">
        <v>54</v>
      </c>
      <c r="I388" s="513">
        <v>0</v>
      </c>
      <c r="J388" s="512">
        <v>0</v>
      </c>
      <c r="K388" s="511">
        <f>IF(I388&gt;0,J388*100/I388,0)</f>
        <v>0</v>
      </c>
      <c r="L388" s="645"/>
      <c r="M388" s="645"/>
      <c r="N388" s="645"/>
      <c r="O388" s="645"/>
      <c r="P388" s="645"/>
    </row>
    <row r="389" spans="1:16" ht="12.75" x14ac:dyDescent="0.2">
      <c r="A389" s="695"/>
      <c r="B389" s="695"/>
      <c r="C389" s="695"/>
      <c r="D389" s="695"/>
      <c r="E389" s="695"/>
      <c r="F389" s="695"/>
      <c r="G389" s="695"/>
      <c r="H389" s="695"/>
      <c r="I389" s="695"/>
      <c r="J389" s="695"/>
      <c r="K389" s="695"/>
      <c r="L389" s="695"/>
      <c r="M389" s="695"/>
      <c r="N389" s="695"/>
      <c r="O389" s="695"/>
      <c r="P389" s="695"/>
    </row>
    <row r="390" spans="1:16" ht="16.5" x14ac:dyDescent="0.25">
      <c r="A390" s="696" t="s">
        <v>151</v>
      </c>
      <c r="B390" s="695"/>
      <c r="C390" s="695"/>
      <c r="D390" s="695"/>
      <c r="E390" s="695"/>
      <c r="F390" s="695"/>
      <c r="G390" s="695"/>
      <c r="H390" s="695"/>
      <c r="I390" s="695"/>
      <c r="J390" s="695"/>
      <c r="K390" s="695"/>
      <c r="L390" s="695"/>
      <c r="M390" s="695"/>
      <c r="N390" s="695"/>
      <c r="O390" s="695"/>
      <c r="P390" s="695"/>
    </row>
    <row r="391" spans="1:16" ht="16.5" x14ac:dyDescent="0.25">
      <c r="A391" s="696" t="str">
        <f ca="1">IFERROR(__xludf.DUMMYFUNCTION("concatenate(""- ผลเบิกจ่ายงบประมาณประจำปีงบประมาณ พ.ศ. 2566 ไปพลางก่อน ใช้ข้อมูลจากกลุ่มงบประมาณ สำนักบริหารกลาง "",IMPORTRANGE(""https://docs.google.com/spreadsheets/d/1gNPQPjxUj63ZZXIIIm2aX4x3w7PhAZpC9JuXdbpWwUQ/edit?usp=sharing"",""Sheet1!b1""))"),"-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66")</f>
        <v>- ผลเบิกจ่ายงบประมาณประจำปีงบประมาณ พ.ศ. 2566 ไปพลางก่อน ใช้ข้อมูลจากกลุ่มงบประมาณ สำนักบริหารกลาง ข้อมูล ณ 28 ธ.ค. 66</v>
      </c>
      <c r="B391" s="695"/>
      <c r="C391" s="695"/>
      <c r="D391" s="695"/>
      <c r="E391" s="695"/>
      <c r="F391" s="695"/>
      <c r="G391" s="695"/>
      <c r="H391" s="695"/>
      <c r="I391" s="695"/>
      <c r="J391" s="695"/>
      <c r="K391" s="695"/>
      <c r="L391" s="695"/>
      <c r="M391" s="695"/>
      <c r="N391" s="695"/>
      <c r="O391" s="695"/>
      <c r="P391" s="695"/>
    </row>
  </sheetData>
  <mergeCells count="12">
    <mergeCell ref="A7:G7"/>
    <mergeCell ref="A17:G17"/>
    <mergeCell ref="A30:G30"/>
    <mergeCell ref="A56:G56"/>
    <mergeCell ref="B57:G57"/>
    <mergeCell ref="A1:P1"/>
    <mergeCell ref="A2:P2"/>
    <mergeCell ref="A3:P3"/>
    <mergeCell ref="L5:M5"/>
    <mergeCell ref="N5:P5"/>
    <mergeCell ref="A5:G6"/>
    <mergeCell ref="I5:K5"/>
  </mergeCells>
  <printOptions horizontalCentered="1"/>
  <pageMargins left="0.23622047244094491" right="0.23622047244094491" top="0.55118110236220474" bottom="0.55118110236220474" header="0" footer="0"/>
  <pageSetup paperSize="9" scale="43" fitToHeight="0" pageOrder="overThenDown" orientation="portrait" cellComments="atEnd" verticalDpi="0" r:id="rId1"/>
  <headerFooter>
    <oddFooter>&amp;Cหน้า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รวมกลาง</vt:lpstr>
      <vt:lpstr>กาญจนบุรี</vt:lpstr>
      <vt:lpstr>จันทบุรี</vt:lpstr>
      <vt:lpstr>ฉะเชิงเทรา</vt:lpstr>
      <vt:lpstr>ชลบุรี</vt:lpstr>
      <vt:lpstr>ชัยนาท</vt:lpstr>
      <vt:lpstr>ตราด</vt:lpstr>
      <vt:lpstr>นครนายก</vt:lpstr>
      <vt:lpstr>นครปฐม</vt:lpstr>
      <vt:lpstr>ปทุมธานี</vt:lpstr>
      <vt:lpstr>ประจวบคีรีขันธ์</vt:lpstr>
      <vt:lpstr>ปราจีนบุรี</vt:lpstr>
      <vt:lpstr>พระนครศรีอยุธยา</vt:lpstr>
      <vt:lpstr>เพชรบุรี</vt:lpstr>
      <vt:lpstr>ระยอง</vt:lpstr>
      <vt:lpstr>ราชบุรี</vt:lpstr>
      <vt:lpstr>ลพบุรี</vt:lpstr>
      <vt:lpstr>สระแก้ว</vt:lpstr>
      <vt:lpstr>สระบุรี</vt:lpstr>
      <vt:lpstr>สิงห์บุรี</vt:lpstr>
      <vt:lpstr>สุพรรณบุรี</vt:lpstr>
      <vt:lpstr>อ่างทอง</vt:lpstr>
      <vt:lpstr>กาญจนบุรี!Print_Titles</vt:lpstr>
      <vt:lpstr>จันทบุรี!Print_Titles</vt:lpstr>
      <vt:lpstr>ฉะเชิงเทรา!Print_Titles</vt:lpstr>
      <vt:lpstr>ชลบุรี!Print_Titles</vt:lpstr>
      <vt:lpstr>ชัยนาท!Print_Titles</vt:lpstr>
      <vt:lpstr>ตราด!Print_Titles</vt:lpstr>
      <vt:lpstr>นครนายก!Print_Titles</vt:lpstr>
      <vt:lpstr>นครปฐม!Print_Titles</vt:lpstr>
      <vt:lpstr>ปทุมธานี!Print_Titles</vt:lpstr>
      <vt:lpstr>ประจวบคีรีขันธ์!Print_Titles</vt:lpstr>
      <vt:lpstr>ปราจีนบุรี!Print_Titles</vt:lpstr>
      <vt:lpstr>พระนครศรีอยุธยา!Print_Titles</vt:lpstr>
      <vt:lpstr>เพชรบุรี!Print_Titles</vt:lpstr>
      <vt:lpstr>รวมกลาง!Print_Titles</vt:lpstr>
      <vt:lpstr>ระยอง!Print_Titles</vt:lpstr>
      <vt:lpstr>ราชบุรี!Print_Titles</vt:lpstr>
      <vt:lpstr>ลพบุรี!Print_Titles</vt:lpstr>
      <vt:lpstr>สระแก้ว!Print_Titles</vt:lpstr>
      <vt:lpstr>สระบุรี!Print_Titles</vt:lpstr>
      <vt:lpstr>สิงห์บุรี!Print_Titles</vt:lpstr>
      <vt:lpstr>สุพรรณบุรี!Print_Titles</vt:lpstr>
      <vt:lpstr>อ่างทอง!Print_Titles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modified xsi:type="dcterms:W3CDTF">2024-01-05T04:07:18Z</dcterms:modified>
</cp:coreProperties>
</file>